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96Stb36pCx/eAKlvePP2bwCILvMuc0/fzuPpSBKhsXU88+nbq9WUM8f+GV5ozwIy8ICFyf36L04RhJtzrUTo0g==" workbookSaltValue="o7VSw8Wgshhx1E4Ckl4h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AT17" i="20"/>
  <c r="AL9" i="11"/>
  <c r="C17" i="6"/>
  <c r="H13" i="12"/>
  <c r="T13" i="16"/>
  <c r="T13" i="20"/>
  <c r="BB13" i="13"/>
  <c r="BF9" i="8"/>
  <c r="J18" i="17"/>
  <c r="BG15" i="13"/>
  <c r="BA18" i="13"/>
  <c r="BE15" i="13"/>
  <c r="AH20" i="20"/>
  <c r="AL20" i="20"/>
  <c r="AB20" i="20"/>
  <c r="U10" i="11"/>
  <c r="AO20" i="20"/>
  <c r="AN20" i="20"/>
  <c r="Y20" i="20"/>
  <c r="T19" i="8" l="1"/>
  <c r="AY18" i="8"/>
  <c r="AJ19" i="8"/>
  <c r="BD12" i="8"/>
  <c r="H12" i="7" s="1"/>
  <c r="T13" i="12"/>
  <c r="AC10" i="11"/>
  <c r="D10" i="6"/>
  <c r="BE10" i="8"/>
  <c r="E12" i="6"/>
  <c r="AO12" i="11"/>
  <c r="AL12" i="11"/>
  <c r="B10" i="6"/>
  <c r="H12" i="2"/>
  <c r="AY13" i="8"/>
  <c r="BG15" i="8"/>
  <c r="K15" i="7" s="1"/>
  <c r="BD16" i="8"/>
  <c r="H16" i="7" s="1"/>
  <c r="L9" i="14"/>
  <c r="C10" i="6"/>
  <c r="AO17" i="11"/>
  <c r="L16" i="14"/>
  <c r="L17" i="14"/>
  <c r="AZ18" i="13"/>
  <c r="AY13" i="13"/>
  <c r="F15" i="17"/>
  <c r="AQ15" i="17" s="1"/>
  <c r="L12" i="14"/>
  <c r="BA13" i="13"/>
  <c r="BG13" i="13" s="1"/>
  <c r="R8" i="9"/>
  <c r="S16" i="14" s="1"/>
  <c r="V16" i="14" s="1"/>
  <c r="R16" i="14"/>
  <c r="X16" i="17"/>
  <c r="X9" i="17"/>
  <c r="U10" i="21"/>
  <c r="S10" i="17"/>
  <c r="V15" i="20"/>
  <c r="V18" i="20" s="1"/>
  <c r="X12" i="17"/>
  <c r="AA11" i="16"/>
  <c r="S11" i="17"/>
  <c r="AZ11" i="11"/>
  <c r="AZ17" i="11"/>
  <c r="L12" i="2"/>
  <c r="X12" i="16"/>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BE12" i="8"/>
  <c r="I12" i="7" s="1"/>
  <c r="BE15" i="8"/>
  <c r="AO15" i="17"/>
  <c r="C16" i="6"/>
  <c r="U19" i="8"/>
  <c r="Y19" i="8"/>
  <c r="AI19" i="8"/>
  <c r="BK19" i="8"/>
  <c r="B11" i="6"/>
  <c r="C12" i="14"/>
  <c r="K12" i="14" s="1"/>
  <c r="K18" i="11"/>
  <c r="E9" i="6"/>
  <c r="I9" i="7"/>
  <c r="H9" i="7"/>
  <c r="K9" i="7"/>
  <c r="AO10" i="17"/>
  <c r="AO12"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C13" i="6" l="1"/>
  <c r="I10" i="12"/>
  <c r="F13" i="2"/>
  <c r="J18" i="2"/>
  <c r="J13" i="2"/>
  <c r="BD13" i="13"/>
  <c r="K9" i="12"/>
  <c r="V15" i="16"/>
  <c r="X17" i="17"/>
  <c r="AA16" i="16"/>
  <c r="L11" i="2"/>
  <c r="AA12" i="21"/>
  <c r="T17" i="20"/>
  <c r="AA15" i="16"/>
  <c r="S15" i="14"/>
  <c r="V15" i="14" s="1"/>
  <c r="R10" i="14"/>
  <c r="S10" i="14"/>
  <c r="V10" i="14" s="1"/>
  <c r="V10" i="21"/>
  <c r="X13" i="17"/>
  <c r="AM9" i="11"/>
  <c r="AO17" i="17"/>
  <c r="AO16" i="17"/>
  <c r="AM15" i="11"/>
  <c r="S16" i="17"/>
  <c r="X10" i="21"/>
  <c r="L10" i="2"/>
  <c r="AZ15" i="11"/>
  <c r="AZ18" i="11" s="1"/>
  <c r="S17" i="17"/>
  <c r="S9" i="17"/>
  <c r="X13" i="20"/>
  <c r="AA9" i="16"/>
  <c r="AA17" i="16"/>
  <c r="AA10" i="16"/>
  <c r="X15" i="16"/>
  <c r="X18" i="16" s="1"/>
  <c r="X9" i="16"/>
  <c r="X19" i="16" s="1"/>
  <c r="S15" i="17"/>
  <c r="X16" i="20"/>
  <c r="V12" i="21"/>
  <c r="X17" i="20"/>
  <c r="X11" i="17"/>
  <c r="X15" i="17"/>
  <c r="X10" i="17"/>
  <c r="T15" i="11"/>
  <c r="S9" i="14"/>
  <c r="V9" i="14" s="1"/>
  <c r="R12" i="14"/>
  <c r="S17" i="14"/>
  <c r="V17" i="14" s="1"/>
  <c r="S11" i="14"/>
  <c r="V11" i="14" s="1"/>
  <c r="T11" i="11"/>
  <c r="R17" i="14"/>
  <c r="R18" i="14" s="1"/>
  <c r="X12" i="21"/>
  <c r="X19" i="21" s="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Q12" i="11" s="1"/>
  <c r="BL15" i="11"/>
  <c r="BL10" i="11"/>
  <c r="BH10" i="16"/>
  <c r="Q15" i="17"/>
  <c r="Q18" i="17" s="1"/>
  <c r="Q19" i="17" s="1"/>
  <c r="BM17" i="11"/>
  <c r="BF15" i="11"/>
  <c r="BM9" i="11"/>
  <c r="BH12" i="16"/>
  <c r="BK10" i="11"/>
  <c r="L15" i="2"/>
  <c r="L17" i="2"/>
  <c r="V10" i="16"/>
  <c r="V9" i="16"/>
  <c r="BF11" i="11"/>
  <c r="BL9" i="11"/>
  <c r="Q9" i="11" s="1"/>
  <c r="BG10" i="11"/>
  <c r="Q10" i="11" s="1"/>
  <c r="P17" i="17"/>
  <c r="BK12" i="11"/>
  <c r="BK13" i="11" s="1"/>
  <c r="BK9" i="11"/>
  <c r="BK15" i="11"/>
  <c r="BI10" i="11"/>
  <c r="V9" i="11"/>
  <c r="R10" i="21"/>
  <c r="BG9" i="11"/>
  <c r="BH17" i="11"/>
  <c r="T17" i="16"/>
  <c r="BU11" i="17"/>
  <c r="BU10" i="17"/>
  <c r="BU21" i="17" s="1"/>
  <c r="BW12" i="20"/>
  <c r="BW11" i="20"/>
  <c r="BW21" i="20" s="1"/>
  <c r="BW10" i="20"/>
  <c r="BU12" i="17"/>
  <c r="AZ12" i="11"/>
  <c r="Q17" i="17"/>
  <c r="BI9" i="11"/>
  <c r="BJ10" i="11"/>
  <c r="BH11" i="11"/>
  <c r="BH16" i="11"/>
  <c r="BJ16" i="11"/>
  <c r="L16" i="2"/>
  <c r="L9" i="2"/>
  <c r="T9" i="11"/>
  <c r="BH11" i="16"/>
  <c r="BH17" i="16"/>
  <c r="BM16" i="11"/>
  <c r="BL17" i="11"/>
  <c r="P17" i="11" s="1"/>
  <c r="BF10" i="11"/>
  <c r="V11" i="11"/>
  <c r="Q10" i="21"/>
  <c r="BJ11" i="11"/>
  <c r="BI17" i="11"/>
  <c r="BL11" i="11"/>
  <c r="BM15" i="11"/>
  <c r="T15" i="16"/>
  <c r="T18" i="16" s="1"/>
  <c r="T19" i="16" s="1"/>
  <c r="BV17" i="16"/>
  <c r="BV12" i="16"/>
  <c r="BV11" i="16"/>
  <c r="U10" i="17"/>
  <c r="V12" i="16"/>
  <c r="BG12" i="11"/>
  <c r="P12" i="11" s="1"/>
  <c r="BH10" i="11"/>
  <c r="AQ10" i="21"/>
  <c r="BK16" i="11"/>
  <c r="BG16" i="11"/>
  <c r="Q16" i="11" s="1"/>
  <c r="AQ12" i="21"/>
  <c r="BL16" i="11"/>
  <c r="U9" i="17"/>
  <c r="U19" i="17" s="1"/>
  <c r="T12" i="11"/>
  <c r="R11" i="14"/>
  <c r="S12" i="14"/>
  <c r="V12" i="14" s="1"/>
  <c r="V13"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I19" i="8"/>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F13" i="8"/>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R13" i="14"/>
  <c r="Y13" i="14"/>
  <c r="AA13" i="14"/>
  <c r="W13" i="14"/>
  <c r="P13" i="14"/>
  <c r="Q13" i="14"/>
  <c r="X13" i="14"/>
  <c r="AC13" i="14"/>
  <c r="AB13" i="14"/>
  <c r="V16" i="11"/>
  <c r="U18" i="11"/>
  <c r="AA18" i="14"/>
  <c r="V18" i="14"/>
  <c r="W18" i="14"/>
  <c r="H18" i="14"/>
  <c r="Z18" i="14"/>
  <c r="X18" i="14"/>
  <c r="AD18" i="14"/>
  <c r="Q18" i="14"/>
  <c r="P18" i="14"/>
  <c r="Y18" i="14"/>
  <c r="AC18" i="14"/>
  <c r="AB18" i="14"/>
  <c r="M18" i="14"/>
  <c r="U21" i="11"/>
  <c r="U13" i="11"/>
  <c r="V13" i="11" s="1"/>
  <c r="U19" i="11"/>
  <c r="V19" i="11" s="1"/>
  <c r="V10" i="11"/>
  <c r="V12" i="11"/>
  <c r="H20" i="17"/>
  <c r="O17" i="11"/>
  <c r="L20" i="20"/>
  <c r="O10" i="11"/>
  <c r="U17" i="11"/>
  <c r="AX20" i="20"/>
  <c r="B19" i="7" l="1"/>
  <c r="AO18" i="17"/>
  <c r="S18" i="14"/>
  <c r="S13" i="14"/>
  <c r="F13" i="21"/>
  <c r="F19" i="21" s="1"/>
  <c r="R19" i="20"/>
  <c r="S19" i="16"/>
  <c r="BK18" i="11"/>
  <c r="BH18" i="11"/>
  <c r="BV13" i="16"/>
  <c r="BV18" i="16"/>
  <c r="P16" i="11"/>
  <c r="R13" i="21"/>
  <c r="R19" i="21" s="1"/>
  <c r="BH13" i="11"/>
  <c r="P9" i="11"/>
  <c r="AZ19" i="11"/>
  <c r="AZ13" i="11"/>
  <c r="BJ18" i="1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<sst xmlns="http://schemas.openxmlformats.org/spreadsheetml/2006/main" count="2102" uniqueCount="917">
  <si>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</si>
  <si>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</si>
  <si>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</si>
  <si>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</si>
  <si>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</si>
  <si>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</si>
  <si>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</si>
  <si>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</si>
  <si>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</si>
  <si>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</si>
  <si>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</si>
  <si>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</si>
  <si>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</si>
  <si>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</si>
  <si>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</si>
  <si>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</si>
  <si>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</si>
  <si>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</si>
  <si>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</si>
  <si>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</si>
  <si>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</si>
  <si>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</si>
  <si>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</si>
  <si>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</si>
  <si>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</si>
  <si>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</si>
  <si>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</si>
  <si>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</si>
  <si>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</si>
  <si>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</si>
  <si>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</si>
  <si>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</si>
  <si>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</si>
  <si>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</si>
  <si>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</si>
  <si>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</si>
  <si>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</si>
  <si>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</si>
  <si>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</si>
  <si>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</si>
  <si>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</si>
  <si>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</si>
  <si>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</si>
  <si>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</si>
  <si>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</si>
  <si>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</si>
  <si>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</si>
  <si>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</si>
  <si>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</si>
  <si>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</si>
  <si>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</si>
  <si>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</si>
  <si>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</si>
  <si>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</si>
  <si>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</si>
  <si>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</si>
  <si>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</si>
  <si>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</si>
  <si>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</si>
  <si>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</si>
  <si>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</si>
  <si>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</si>
  <si>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</si>
  <si>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</si>
  <si>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</si>
  <si>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</si>
  <si>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</si>
  <si>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</si>
  <si>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</si>
  <si>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</si>
  <si>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</si>
  <si>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</si>
  <si>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</si>
  <si>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</si>
  <si>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</si>
  <si>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</si>
  <si>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</si>
  <si>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</si>
  <si>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</si>
  <si>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</si>
  <si>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</si>
  <si>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</si>
  <si>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</si>
  <si>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</si>
  <si>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</si>
  <si>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</si>
  <si>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</si>
  <si>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</si>
  <si>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</si>
  <si>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</si>
  <si>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</si>
  <si>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</si>
  <si>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</si>
  <si>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</si>
  <si>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</si>
  <si>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</si>
  <si>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</si>
  <si>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</si>
  <si>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</si>
  <si>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</si>
  <si>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</si>
  <si>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</si>
  <si>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</si>
  <si>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</si>
  <si>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</si>
  <si>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</si>
  <si>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</si>
  <si>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</si>
  <si>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</si>
  <si>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</si>
  <si>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</si>
  <si>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</si>
  <si>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</si>
  <si>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</si>
  <si>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</si>
  <si>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</si>
  <si>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</si>
  <si>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</si>
  <si>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</si>
  <si>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</si>
  <si>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</si>
  <si>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</si>
  <si>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</si>
  <si>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</si>
  <si>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</si>
  <si>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</si>
  <si>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</si>
  <si>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</si>
  <si>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</si>
  <si>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</si>
  <si>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</si>
  <si>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</si>
  <si>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</si>
  <si>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</si>
  <si>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</si>
  <si>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</si>
  <si>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</si>
  <si>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</si>
  <si>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</si>
  <si>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</si>
  <si>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</si>
  <si>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</si>
  <si>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</si>
  <si>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</si>
  <si>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</si>
  <si>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</si>
  <si>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</si>
  <si>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</si>
  <si>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</si>
  <si>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</si>
  <si>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</si>
  <si>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</si>
  <si>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</si>
  <si>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</si>
  <si>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</si>
  <si>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</si>
  <si>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</si>
  <si>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</si>
  <si>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</si>
  <si>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</si>
  <si>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</si>
  <si>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</si>
  <si>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</si>
  <si>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</si>
  <si>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</si>
  <si>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</si>
  <si>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</si>
  <si>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</si>
  <si>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</si>
  <si>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</si>
  <si>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</si>
  <si>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</si>
  <si>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</si>
  <si>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</si>
  <si>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</si>
  <si>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</si>
  <si>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</si>
  <si>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</si>
  <si>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</si>
  <si>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</si>
  <si>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</si>
  <si>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</si>
  <si>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</si>
  <si>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</si>
  <si>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</si>
  <si>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</si>
  <si>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</si>
  <si>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</si>
  <si>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</si>
  <si>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</si>
  <si>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</si>
  <si>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</si>
  <si>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</si>
  <si>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</si>
  <si>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</si>
  <si>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</si>
  <si>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</si>
  <si>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</si>
  <si>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</si>
  <si>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</si>
  <si>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</si>
  <si>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</si>
  <si>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</si>
  <si>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</si>
  <si>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</si>
  <si>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</si>
  <si>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</si>
  <si>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</si>
  <si>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</si>
  <si>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</si>
  <si>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</si>
  <si>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</si>
  <si>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</si>
  <si>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</si>
  <si>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</si>
  <si>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</si>
  <si>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</si>
  <si>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</si>
  <si>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</si>
  <si>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</si>
  <si>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</si>
  <si>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</si>
  <si>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</si>
  <si>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</si>
  <si>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</si>
  <si>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</si>
  <si>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</si>
  <si>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</si>
  <si>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</si>
  <si>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</si>
  <si>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</si>
  <si>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</si>
  <si>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</si>
  <si>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</si>
  <si>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</si>
  <si>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</si>
  <si>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</si>
  <si>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</si>
  <si>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</si>
  <si>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</si>
  <si>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</si>
  <si>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</si>
  <si>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</si>
  <si>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</si>
  <si>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</si>
  <si>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</si>
  <si>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</si>
  <si>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</si>
  <si>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</si>
  <si>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</si>
  <si>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</si>
  <si>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</si>
  <si>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</si>
  <si>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</si>
  <si>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</si>
  <si>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</si>
  <si>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</si>
  <si>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</si>
  <si>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</si>
  <si>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</si>
  <si>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</si>
  <si>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</si>
  <si>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</si>
  <si>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</si>
  <si>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</si>
  <si>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</si>
  <si>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</si>
  <si>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</si>
  <si>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</si>
  <si>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</si>
  <si>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</si>
  <si>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</si>
  <si>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</si>
  <si>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</si>
  <si>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</si>
  <si>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</si>
  <si>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</si>
  <si>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</si>
  <si>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</si>
  <si>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</si>
  <si>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</si>
  <si>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</si>
  <si>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</si>
  <si>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</si>
  <si>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</si>
  <si>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</si>
  <si>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</si>
  <si>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</si>
  <si>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</si>
  <si>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</si>
  <si>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</si>
  <si>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</si>
  <si>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</si>
  <si>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</si>
  <si>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</si>
  <si>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</si>
  <si>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</si>
  <si>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</si>
  <si>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</si>
  <si>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</si>
  <si>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</si>
  <si>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</si>
  <si>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</si>
  <si>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</si>
  <si>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</si>
  <si>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</si>
  <si>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</si>
  <si>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</si>
  <si>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</si>
  <si>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</si>
  <si>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</si>
  <si>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</si>
  <si>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</si>
  <si>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</si>
  <si>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</si>
  <si>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</si>
  <si>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</si>
  <si>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</si>
  <si>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</si>
  <si>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</si>
  <si>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</si>
  <si>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</si>
  <si>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</si>
  <si>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</si>
  <si>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</si>
  <si>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</si>
  <si>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</si>
  <si>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</si>
  <si>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</si>
  <si>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</si>
  <si>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</si>
  <si>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</si>
  <si>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</si>
  <si>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</si>
  <si>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</si>
  <si>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</si>
  <si>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</si>
  <si>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</si>
  <si>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</si>
  <si>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</si>
  <si>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</si>
  <si>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</si>
  <si>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</si>
  <si>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</si>
  <si>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</si>
  <si>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</si>
  <si>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</si>
  <si>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</si>
  <si>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</si>
  <si>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</si>
  <si>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</si>
  <si>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</si>
  <si>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</si>
  <si>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</si>
  <si>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</si>
  <si>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</si>
  <si>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</si>
  <si>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</si>
  <si>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</si>
  <si>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</si>
  <si>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</si>
  <si>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</si>
  <si>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</si>
  <si>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</si>
  <si>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</si>
  <si>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</si>
  <si>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</si>
  <si>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</si>
  <si>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</si>
  <si>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</si>
  <si>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</si>
  <si>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</si>
  <si>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</si>
  <si>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</si>
  <si>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</si>
  <si>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</si>
  <si>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</si>
  <si>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</si>
  <si>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</si>
  <si>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</si>
  <si>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</si>
  <si>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</si>
  <si>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</si>
  <si>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</si>
  <si>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</si>
  <si>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</si>
  <si>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</si>
  <si>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</si>
  <si>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</si>
  <si>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</si>
  <si>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</si>
  <si>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</si>
  <si>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</si>
  <si>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</si>
  <si>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</si>
  <si>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</si>
  <si>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</si>
  <si>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</si>
  <si>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</si>
  <si>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</si>
  <si>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</si>
  <si>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</si>
  <si>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</si>
  <si>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</si>
  <si>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</si>
  <si>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</si>
  <si>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</si>
  <si>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</si>
  <si>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</si>
  <si>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</si>
  <si>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</si>
  <si>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</si>
  <si>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</si>
  <si>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</si>
  <si>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</si>
  <si>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</si>
  <si>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</si>
  <si>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</si>
  <si>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</si>
  <si>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</si>
  <si>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</si>
  <si>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</si>
  <si>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</si>
  <si>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</si>
  <si>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</si>
  <si>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</si>
  <si>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</si>
  <si>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</si>
  <si>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</si>
  <si>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</si>
  <si>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</si>
  <si>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</si>
  <si>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</si>
  <si>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</si>
  <si>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</si>
  <si>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</si>
  <si>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</si>
  <si>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</si>
  <si>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</si>
  <si>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</si>
  <si>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</si>
  <si>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</si>
  <si>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</si>
  <si>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</si>
  <si>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</si>
  <si>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</si>
  <si>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</si>
  <si>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</si>
  <si>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</si>
  <si>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</si>
  <si>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</si>
  <si>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</si>
  <si>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</si>
  <si>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</si>
  <si>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</si>
  <si>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</si>
  <si>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</si>
  <si>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</si>
  <si>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</si>
  <si>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</si>
  <si>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</si>
  <si>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</si>
  <si>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</si>
  <si>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</si>
  <si>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</si>
  <si>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</si>
  <si>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</si>
  <si>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</si>
  <si>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</si>
  <si>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</si>
  <si>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</si>
  <si>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</si>
  <si>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</si>
  <si>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</si>
  <si>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</si>
  <si>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</si>
  <si>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</si>
  <si>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</si>
  <si>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</si>
  <si>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</si>
  <si>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</si>
  <si>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</si>
  <si>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</si>
  <si>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</si>
  <si>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</si>
  <si>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</si>
  <si>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</si>
  <si>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</si>
  <si>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</si>
  <si>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</si>
  <si>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</si>
  <si>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</si>
  <si>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</si>
  <si>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</si>
  <si>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</si>
  <si>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</si>
  <si>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</si>
  <si>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</si>
  <si>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</si>
  <si>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</si>
  <si>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</si>
  <si>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</si>
  <si>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</si>
  <si>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</si>
  <si>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</si>
  <si>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</si>
  <si>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</si>
  <si>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</si>
  <si>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</si>
  <si>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</si>
  <si>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</si>
  <si>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</si>
  <si>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</si>
  <si>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</si>
  <si>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</si>
  <si>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</si>
  <si>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</si>
  <si>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</si>
  <si>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</si>
  <si>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</si>
  <si>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</si>
  <si>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</si>
  <si>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</si>
  <si>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</si>
  <si>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</si>
  <si>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</si>
  <si>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</si>
  <si>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</si>
  <si>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</si>
  <si>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</si>
  <si>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</si>
  <si>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</si>
  <si>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</si>
  <si>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</si>
  <si>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</si>
  <si>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</si>
  <si>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</si>
  <si>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</si>
  <si>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</si>
  <si>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</si>
  <si>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</si>
  <si>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</si>
  <si>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</si>
  <si>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</si>
  <si>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</si>
  <si>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</si>
  <si>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</si>
  <si>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</si>
  <si>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</si>
  <si>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</si>
  <si>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</si>
  <si>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</si>
  <si>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</si>
  <si>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</si>
  <si>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</si>
  <si>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</si>
  <si>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</si>
  <si>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</si>
  <si>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</si>
  <si>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</si>
  <si>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</si>
  <si>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</si>
  <si>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</si>
  <si>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</si>
  <si>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</si>
  <si>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</si>
  <si>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</si>
  <si>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</si>
  <si>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</si>
  <si>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</si>
  <si>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</si>
  <si>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</si>
  <si>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</si>
  <si>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</si>
  <si>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</si>
  <si>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</si>
  <si>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</si>
  <si>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</si>
  <si>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</si>
  <si>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</si>
  <si>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</si>
  <si>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</si>
  <si>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</si>
  <si>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</si>
  <si>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</si>
  <si>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</si>
  <si>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</si>
  <si>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</si>
  <si>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</si>
  <si>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</si>
  <si>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</si>
  <si>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</si>
  <si>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</si>
  <si>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</si>
  <si>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</si>
  <si>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</si>
  <si>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</si>
  <si>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</si>
  <si>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</si>
  <si>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</si>
  <si>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</si>
  <si>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</si>
  <si>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</si>
  <si>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</si>
  <si>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</si>
  <si>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</si>
  <si>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</si>
  <si>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</si>
  <si>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</si>
  <si>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</si>
  <si>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</si>
  <si>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</si>
  <si>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</si>
  <si>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</si>
  <si>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</si>
  <si>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</si>
  <si>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</si>
  <si>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</si>
  <si>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</si>
  <si>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</si>
  <si>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</si>
  <si>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</si>
  <si>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</si>
  <si>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</si>
  <si>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</si>
  <si>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</si>
  <si>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</si>
  <si>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</si>
  <si>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</si>
  <si>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</si>
  <si>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</si>
  <si>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</si>
  <si>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</si>
  <si>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</si>
  <si>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</si>
  <si>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</si>
  <si>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</si>
  <si>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</si>
  <si>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</si>
  <si>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</si>
  <si>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</si>
  <si>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</si>
  <si>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</si>
  <si>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</si>
  <si>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</si>
  <si>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</si>
  <si>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</si>
  <si>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</si>
  <si>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</si>
  <si>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</si>
  <si>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</si>
  <si>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</si>
  <si>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</si>
  <si>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</si>
  <si>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</si>
  <si>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</si>
  <si>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</si>
  <si>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</si>
  <si>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</si>
  <si>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</si>
  <si>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</si>
  <si>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</si>
  <si>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</si>
  <si>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</si>
  <si>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</si>
  <si>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</si>
  <si>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</si>
  <si>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</si>
  <si>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</si>
  <si>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</si>
  <si>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</si>
  <si>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</si>
  <si>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</si>
  <si>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</si>
  <si>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</si>
  <si>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</si>
  <si>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</si>
  <si>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</si>
  <si>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</si>
  <si>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</si>
  <si>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</si>
  <si>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</si>
  <si>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</si>
  <si>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</si>
  <si>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</si>
  <si>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</si>
  <si>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</si>
  <si>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</si>
  <si>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</si>
  <si>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</si>
  <si>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</si>
  <si>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</si>
  <si>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</si>
  <si>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</si>
  <si>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</si>
  <si>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</si>
  <si>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</si>
  <si>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</si>
  <si>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</si>
  <si>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</si>
  <si>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</si>
  <si>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</si>
  <si>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</si>
  <si>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</si>
  <si>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</si>
  <si>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</si>
  <si>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</si>
  <si>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</si>
  <si>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</si>
  <si>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</si>
  <si>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</si>
  <si>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</si>
  <si>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</si>
  <si>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</si>
  <si>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</si>
  <si>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</si>
  <si>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</si>
  <si>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</si>
  <si>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</si>
  <si>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</si>
  <si>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</si>
  <si>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</si>
  <si>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</si>
  <si>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</si>
  <si>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</si>
  <si>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</si>
  <si>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</si>
  <si>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</si>
  <si>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</si>
  <si>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</si>
  <si>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</si>
  <si>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</si>
  <si>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</si>
  <si>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</si>
  <si>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</si>
  <si>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</si>
  <si>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</si>
  <si>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</si>
  <si>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</si>
  <si>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</si>
  <si>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</si>
  <si>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</si>
  <si>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</si>
  <si>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</si>
  <si>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</si>
  <si>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</si>
  <si>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</si>
  <si>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</si>
  <si>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</si>
  <si>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</si>
  <si>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</si>
  <si>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</si>
  <si>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</si>
  <si>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</si>
  <si>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</si>
  <si>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</si>
  <si>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</si>
  <si>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</si>
  <si>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</si>
  <si>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</si>
  <si>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</si>
  <si>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</si>
  <si>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</si>
  <si>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</si>
  <si>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</si>
  <si>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</si>
  <si>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</si>
  <si>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</si>
  <si>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</si>
  <si>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</si>
  <si>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</si>
  <si>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</si>
  <si>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</si>
  <si>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</si>
  <si>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</si>
  <si>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</si>
  <si>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</si>
  <si>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</si>
  <si>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</si>
  <si>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</si>
  <si>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</si>
  <si>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</si>
  <si>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</si>
  <si>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</si>
  <si>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</si>
  <si>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</si>
  <si>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</si>
  <si>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</si>
  <si>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</si>
  <si>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</si>
  <si>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</si>
  <si>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</si>
  <si>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</si>
  <si>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</si>
  <si>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</si>
  <si>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</si>
  <si>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</si>
  <si>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</si>
  <si>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</si>
  <si>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</si>
  <si>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</si>
  <si>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</si>
  <si>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</si>
  <si>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</si>
  <si>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</si>
  <si>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</si>
  <si>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</si>
  <si>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</si>
  <si>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</si>
  <si>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</si>
  <si>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</si>
  <si>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</si>
  <si>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</si>
  <si>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</si>
  <si>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</si>
  <si>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</si>
  <si>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</si>
  <si>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</si>
  <si>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</si>
  <si>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</si>
  <si>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</si>
  <si>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</si>
  <si>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</si>
  <si>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</si>
  <si>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</si>
  <si>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</si>
  <si>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</si>
  <si>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</si>
  <si>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</si>
  <si>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</si>
  <si>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</si>
  <si>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</si>
  <si>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</si>
  <si>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</si>
  <si>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</si>
  <si>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</si>
  <si>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</si>
  <si>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</si>
  <si>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</si>
  <si>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</si>
  <si>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</si>
  <si>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</si>
  <si>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</si>
  <si>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</si>
  <si>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</si>
  <si>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</si>
  <si>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</si>
  <si>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</si>
  <si>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</si>
  <si>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</si>
  <si>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</si>
  <si>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</si>
  <si>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</si>
  <si>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</si>
  <si>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</si>
  <si>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</si>
  <si>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</si>
  <si>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</si>
  <si>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</si>
  <si>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</si>
  <si>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</si>
  <si>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</si>
  <si>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</si>
  <si>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</si>
  <si>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</si>
  <si>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</si>
  <si>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</si>
  <si>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</si>
  <si>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</si>
  <si>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</si>
  <si>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</si>
  <si>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</si>
  <si>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</si>
  <si>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</si>
  <si>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</si>
  <si>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</si>
  <si>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</si>
  <si>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</si>
  <si>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</si>
  <si>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</si>
  <si>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</si>
  <si>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</si>
  <si>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</si>
  <si>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</si>
  <si>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</si>
  <si>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</si>
  <si>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</si>
  <si>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</si>
  <si>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</si>
  <si>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</si>
  <si>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</si>
  <si>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</si>
  <si>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</si>
  <si>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</si>
  <si>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</si>
  <si>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</si>
  <si>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</si>
  <si>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</si>
  <si>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</si>
  <si>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</si>
  <si>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</si>
  <si>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</si>
  <si>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</si>
  <si>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</si>
  <si>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</si>
  <si>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</si>
  <si>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</si>
  <si>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</si>
  <si>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</si>
  <si>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</si>
  <si>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</si>
  <si>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</si>
  <si>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</si>
  <si>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</si>
  <si>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</si>
  <si>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</si>
  <si>
    <t>UBEDA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</si>
</sst>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Qrk9H+s41lFrZUa1LTfjYyYHTGtxADZijNe0z9wngBuHCuDo9QxN/jgeATvBgIAcZmY+iR/C2AMXB6+CLep/w==" saltValue="Jit/semfBaoVTNp8Odym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UBEDA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21</v>
      </c>
      <c r="F10" s="404">
        <f>IF(ISNUMBER(E10/B10),E10/B10," - ")</f>
        <v>21</v>
      </c>
      <c r="G10" s="403">
        <f>IF(ISNUMBER(Datos!K10),Datos!K10," - ")</f>
        <v>13</v>
      </c>
      <c r="H10" s="404">
        <f>IF(ISNUMBER(G10/B10),G10/B10," - ")</f>
        <v>13</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1384</v>
      </c>
      <c r="D12" s="404">
        <f>IF(ISNUMBER(C12/Datos!BH12),C12/Datos!BH12," - ")</f>
        <v>461.33333333333331</v>
      </c>
      <c r="E12" s="403">
        <f>IF(ISNUMBER(IF(J_V="SI",Datos!J12,Datos!J12+Datos!Z12)),IF(J_V="SI",Datos!J12,Datos!J12+Datos!Z12)," - ")</f>
        <v>1124</v>
      </c>
      <c r="F12" s="404">
        <f>IF(ISNUMBER(E12/B12),E12/B12," - ")</f>
        <v>374.66666666666669</v>
      </c>
      <c r="G12" s="403">
        <f>IF(ISNUMBER(IF(J_V="SI",Datos!K12,Datos!K12+Datos!AA12)),IF(J_V="SI",Datos!K12,Datos!K12+Datos!AA12)," - ")</f>
        <v>714</v>
      </c>
      <c r="H12" s="404">
        <f>IF(ISNUMBER(G12/B12),G12/B12," - ")</f>
        <v>238</v>
      </c>
      <c r="I12" s="403">
        <f>IF(ISNUMBER(IF(J_V="SI",Datos!L12,Datos!L12+Datos!AB12)),IF(J_V="SI",Datos!L12,Datos!L12+Datos!AB12)," - ")</f>
        <v>1795</v>
      </c>
      <c r="J12" s="404">
        <f>IF(ISNUMBER(I12/B12),I12/B12," - ")</f>
        <v>598.33333333333337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1416</v>
      </c>
      <c r="D13" s="850" t="str">
        <f>IF(ISNUMBER(C13/Datos!BI13),C13/Datos!BI13," - ")</f>
        <v xml:space="preserve"> - </v>
      </c>
      <c r="E13" s="849">
        <f>SUBTOTAL(9,E8:E12)</f>
        <v>1145</v>
      </c>
      <c r="F13" s="850">
        <f>IF(ISNUMBER(E13/B13),E13/B13," - ")</f>
        <v>381.66666666666669</v>
      </c>
      <c r="G13" s="849">
        <f>SUBTOTAL(9,G8:G12)</f>
        <v>727</v>
      </c>
      <c r="H13" s="850">
        <f>IF(ISNUMBER(G13/B13),G13/B13," - ")</f>
        <v>242.33333333333334</v>
      </c>
      <c r="I13" s="849">
        <f>SUBTOTAL(9,I8:I12)</f>
        <v>1835</v>
      </c>
      <c r="J13" s="850">
        <f>IF(ISNUMBER(I13/B13),I13/B13," - ")</f>
        <v>611.66666666666663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729</v>
      </c>
      <c r="D16" s="404">
        <f>IF(ISNUMBER(C16/Datos!BH16),C16/Datos!BH16," - ")</f>
        <v>243</v>
      </c>
      <c r="E16" s="403">
        <f>IF(ISNUMBER(IF(D_I="SI",Datos!J16,Datos!J16+Datos!AD16)),IF(D_I="SI",Datos!J16,Datos!J16+Datos!AD16)," - ")</f>
        <v>833</v>
      </c>
      <c r="F16" s="404">
        <f>IF(ISNUMBER(E16/B16),E16/B16," - ")</f>
        <v>277.66666666666669</v>
      </c>
      <c r="G16" s="403">
        <f>IF(ISNUMBER(IF(D_I="SI",Datos!K16,Datos!K16+Datos!AE16)),IF(D_I="SI",Datos!K16,Datos!K16+Datos!AE16)," - ")</f>
        <v>917</v>
      </c>
      <c r="H16" s="404">
        <f>IF(ISNUMBER(G16/B16),G16/B16," - ")</f>
        <v>305.66666666666669</v>
      </c>
      <c r="I16" s="403">
        <f>IF(ISNUMBER(IF(D_I="SI",Datos!L16,Datos!L16+Datos!AF16)),IF(D_I="SI",Datos!L16,Datos!L16+Datos!AF16)," - ")</f>
        <v>916</v>
      </c>
      <c r="J16" s="404">
        <f>IF(ISNUMBER(I16/B16),I16/B16," - ")</f>
        <v>305.33333333333331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96</v>
      </c>
      <c r="D17" s="404">
        <f>IF(ISNUMBER(C17/Datos!BH17),C17/Datos!BH17," - ")</f>
        <v>96</v>
      </c>
      <c r="E17" s="403">
        <f>IF(ISNUMBER(IF(D_I="SI",Datos!J17,Datos!J17+Datos!AD17)),IF(D_I="SI",Datos!J17,Datos!J17+Datos!AD17)," - ")</f>
        <v>87</v>
      </c>
      <c r="F17" s="404">
        <f>IF(ISNUMBER(E17/B17),E17/B17," - ")</f>
        <v>87</v>
      </c>
      <c r="G17" s="403">
        <f>IF(ISNUMBER(IF(D_I="SI",Datos!K17,Datos!K17+Datos!AE17)),IF(D_I="SI",Datos!K17,Datos!K17+Datos!AE17)," - ")</f>
        <v>84</v>
      </c>
      <c r="H17" s="404">
        <f>IF(ISNUMBER(G17/B17),G17/B17," - ")</f>
        <v>84</v>
      </c>
      <c r="I17" s="403">
        <f>IF(ISNUMBER(IF(D_I="SI",Datos!L17,Datos!L17+Datos!AF17)),IF(D_I="SI",Datos!L17,Datos!L17+Datos!AF17)," - ")</f>
        <v>101</v>
      </c>
      <c r="J17" s="404">
        <f>IF(ISNUMBER(I17/B17),I17/B17," - ")</f>
        <v>101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825</v>
      </c>
      <c r="D18" s="850" t="str">
        <f>IF(ISNUMBER(C18/Datos!BI18),C18/Datos!BI18," - ")</f>
        <v xml:space="preserve"> - </v>
      </c>
      <c r="E18" s="849">
        <f>SUBTOTAL(9,E14:E17)</f>
        <v>920</v>
      </c>
      <c r="F18" s="850">
        <f>IF(ISNUMBER(E18/B18),E18/B18," - ")</f>
        <v>306.66666666666669</v>
      </c>
      <c r="G18" s="849">
        <f>SUBTOTAL(9,G14:G17)</f>
        <v>1001</v>
      </c>
      <c r="H18" s="850">
        <f>IF(ISNUMBER(G18/B18),G18/B18," - ")</f>
        <v>333.66666666666669</v>
      </c>
      <c r="I18" s="849">
        <f>SUBTOTAL(9,I14:I17)</f>
        <v>1017</v>
      </c>
      <c r="J18" s="850">
        <f>IF(ISNUMBER(I18/B18),I18/B18," - ")</f>
        <v>339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2241</v>
      </c>
      <c r="D19" s="795" t="str">
        <f>IF(ISNUMBER(C19/Datos!BI19),C19/Datos!BI19," - ")</f>
        <v xml:space="preserve"> - </v>
      </c>
      <c r="E19" s="794">
        <f>SUBTOTAL(9,E9:E18)</f>
        <v>2065</v>
      </c>
      <c r="F19" s="795">
        <f>IF(ISNUMBER(E19/B19),E19/B19," - ")</f>
        <v>688.33333333333337</v>
      </c>
      <c r="G19" s="794">
        <f>SUBTOTAL(9,G9:G18)</f>
        <v>1728</v>
      </c>
      <c r="H19" s="795">
        <f>IF(ISNUMBER(G19/B19),G19/B19," - ")</f>
        <v>576</v>
      </c>
      <c r="I19" s="794">
        <f>SUBTOTAL(9,I9:I18)</f>
        <v>2852</v>
      </c>
      <c r="J19" s="795">
        <f>IF(ISNUMBER(I19/B19),I19/B19," - ")</f>
        <v>950.66666666666663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3KCi7Iag0ZHZiPO0zH5vmUdu+0tFmv8RRRPmh+ewOqoINDifdfxbYhkuADN1+g2pj1m6zbI6XHsPbZ2OaJ5XA==" saltValue="iO0iK6Gl0uL8ZIl73ChO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UBEDA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BP519bdE3VvkjN+sU/nVVEmdOsSX5g0imj4igtJyuDec0bf7STuu39YoQFUBy4aBTQUFTLLJVbmDH94fh0awg==" saltValue="1GFK3dfRGKLvuRJTpR2r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UBEDA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4</v>
      </c>
      <c r="G10" s="404">
        <f>IF(ISNUMBER(F10/B10),F10/B10," - ")</f>
        <v>4</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151</v>
      </c>
      <c r="E12" s="404">
        <f t="shared" si="0"/>
        <v>50.333333333333336</v>
      </c>
      <c r="F12" s="403">
        <f>IF(ISNUMBER(Datos!N12),Datos!N12," - ")</f>
        <v>277</v>
      </c>
      <c r="G12" s="404">
        <f t="shared" si="1"/>
        <v>92.333333333333329</v>
      </c>
      <c r="H12" s="403">
        <f>IF(ISNUMBER(Datos!O12),Datos!O12," - ")</f>
        <v>321</v>
      </c>
      <c r="I12" s="404">
        <f t="shared" si="2"/>
        <v>107</v>
      </c>
      <c r="BZ12" s="1186">
        <f>Datos!EZ12</f>
        <v>0</v>
      </c>
    </row>
    <row r="13" spans="1:78" ht="14.25" thickTop="1" thickBot="1">
      <c r="A13" s="848" t="str">
        <f>Datos!A13</f>
        <v>TOTAL</v>
      </c>
      <c r="B13" s="849">
        <f>Datos!AP13</f>
        <v>3</v>
      </c>
      <c r="C13" s="851">
        <f>Datos!AR13</f>
        <v>3</v>
      </c>
      <c r="D13" s="849">
        <f>SUBTOTAL(9,D9:D12)</f>
        <v>154</v>
      </c>
      <c r="E13" s="850">
        <f t="shared" si="0"/>
        <v>51.333333333333336</v>
      </c>
      <c r="F13" s="849">
        <f>SUBTOTAL(9,F9:F12)</f>
        <v>281</v>
      </c>
      <c r="G13" s="850">
        <f t="shared" si="1"/>
        <v>93.666666666666671</v>
      </c>
      <c r="H13" s="849">
        <f>SUBTOTAL(9,H9:H12)</f>
        <v>329</v>
      </c>
      <c r="I13" s="850">
        <f>IF(ISNUMBER(H13/B13),H13/B13," - ")</f>
        <v>109.66666666666667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55</v>
      </c>
      <c r="E16" s="404">
        <f t="shared" si="3"/>
        <v>18.333333333333332</v>
      </c>
      <c r="F16" s="403">
        <f>IF(ISNUMBER(Datos!N16),Datos!N16," - ")</f>
        <v>686</v>
      </c>
      <c r="G16" s="404">
        <f t="shared" si="4"/>
        <v>228.66666666666666</v>
      </c>
      <c r="H16" s="403">
        <f>IF(ISNUMBER(Datos!O16),Datos!O16," - ")</f>
        <v>14</v>
      </c>
      <c r="I16" s="404">
        <f t="shared" si="5"/>
        <v>4.666666666666667</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60</v>
      </c>
      <c r="E18" s="850">
        <f t="shared" si="3"/>
        <v>20</v>
      </c>
      <c r="F18" s="849">
        <f>SUBTOTAL(9,F15:F17)</f>
        <v>729</v>
      </c>
      <c r="G18" s="850">
        <f t="shared" si="4"/>
        <v>243</v>
      </c>
      <c r="H18" s="849">
        <f>SUBTOTAL(9,H15:H17)</f>
        <v>14</v>
      </c>
      <c r="I18" s="850">
        <f>IF(ISNUMBER(H18/B18),H18/B18," - ")</f>
        <v>4.666666666666667</v>
      </c>
      <c r="BZ18" s="1186"/>
    </row>
    <row r="19" spans="1:78" ht="14.25" thickTop="1" thickBot="1">
      <c r="A19" s="793" t="str">
        <f>Datos!A19</f>
        <v>TOTAL JURISDICCIONES</v>
      </c>
      <c r="B19" s="794">
        <f>Datos!AP19</f>
        <v>3</v>
      </c>
      <c r="C19" s="794">
        <f>Datos!AR19</f>
        <v>3</v>
      </c>
      <c r="D19" s="794">
        <f>SUBTOTAL(9,D8:D18)</f>
        <v>214</v>
      </c>
      <c r="E19" s="795">
        <f>IF(ISNUMBER(D19/B19),D19/B19," - ")</f>
        <v>71.333333333333329</v>
      </c>
      <c r="F19" s="794">
        <f>SUBTOTAL(9,F8:F18)</f>
        <v>1010</v>
      </c>
      <c r="G19" s="795">
        <f>IF(ISNUMBER(F19/B19),F19/B19," - ")</f>
        <v>336.66666666666669</v>
      </c>
      <c r="H19" s="794">
        <f>SUBTOTAL(9,H8:H18)</f>
        <v>343</v>
      </c>
      <c r="I19" s="795">
        <f>IF(ISNUMBER(H19/B19),H19/B19," - ")</f>
        <v>114.33333333333333</v>
      </c>
    </row>
    <row r="22" spans="1:78">
      <c r="A22" s="391" t="str">
        <f>Criterios!A4</f>
        <v>Fecha Informe: 03 jun. 2025</v>
      </c>
    </row>
    <row r="27" spans="1:78">
      <c r="A27" s="414"/>
    </row>
  </sheetData>
  <sheetProtection algorithmName="SHA-512" hashValue="ux0pzA7IXy4avM8gt91I/ZBSagW9hdAvO1ERKH1wZH/hMVOW1z7EilO8/YAViFl9ysOp4NkUHekLUAgezql6nw==" saltValue="uRqxudQSN21JKkczu8du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UBEDA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119</v>
      </c>
      <c r="C12" s="434">
        <f>IF(ISNUMBER(Datos!Q12),Datos!Q12," - ")</f>
        <v>75</v>
      </c>
      <c r="D12" s="408">
        <f>IF(ISNUMBER(Datos!R12),Datos!R12," - ")</f>
        <v>2183</v>
      </c>
    </row>
    <row r="13" spans="1:4" ht="14.25" thickTop="1" thickBot="1">
      <c r="A13" s="848" t="str">
        <f>Datos!A13</f>
        <v>TOTAL</v>
      </c>
      <c r="B13" s="849">
        <f>SUBTOTAL(9,B9:B12)</f>
        <v>121</v>
      </c>
      <c r="C13" s="853">
        <f>SUBTOTAL(9,C9:C12)</f>
        <v>76</v>
      </c>
      <c r="D13" s="851">
        <f>SUBTOTAL(9,D9:D12)</f>
        <v>2187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13</v>
      </c>
      <c r="D16" s="408">
        <f>IF(ISNUMBER(Datos!R16),Datos!R16," - ")</f>
        <v>134</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25</v>
      </c>
      <c r="C18" s="853">
        <f>SUBTOTAL(9,C15:C17)</f>
        <v>13</v>
      </c>
      <c r="D18" s="851">
        <f>SUBTOTAL(9,D15:D17)</f>
        <v>137</v>
      </c>
    </row>
    <row r="19" spans="1:4" ht="16.5" customHeight="1" thickTop="1" thickBot="1">
      <c r="A19" s="793" t="str">
        <f>Datos!A19</f>
        <v>TOTAL JURISDICCIONES</v>
      </c>
      <c r="B19" s="798">
        <f>SUBTOTAL(9,B8:B18)</f>
        <v>146</v>
      </c>
      <c r="C19" s="799">
        <f>SUBTOTAL(9,C8:C18)</f>
        <v>89</v>
      </c>
      <c r="D19" s="800">
        <f>SUBTOTAL(9,D8:D18)</f>
        <v>2324</v>
      </c>
    </row>
    <row r="20" spans="1:4" ht="7.5" customHeight="1"/>
    <row r="21" spans="1:4" ht="6" customHeight="1"/>
    <row r="22" spans="1:4">
      <c r="A22" s="391" t="str">
        <f>Criterios!A4</f>
        <v>Fecha Informe: 03 jun. 2025</v>
      </c>
    </row>
    <row r="27" spans="1:4">
      <c r="A27" s="414"/>
    </row>
  </sheetData>
  <sheetProtection algorithmName="SHA-512" hashValue="YWo38/j9NuP2T9j3TjJsFaak6/v75DWBPvFNQFGInH2/Gv55LqlfjrKR8omfrczJPOiRX12nlxzOO7XL9CictA==" saltValue="p0wAPmkSUgBCrQdwPqcZ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UBEDA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-0.13513513513513514</v>
      </c>
      <c r="C10" s="456">
        <f>IF(ISNUMBER((Datos!J10-Datos!T10)/Datos!T10),(Datos!J10-Datos!T10)/Datos!T10," - ")</f>
        <v>-0.16</v>
      </c>
      <c r="D10" s="456">
        <f>IF(ISNUMBER((Datos!K10-Datos!U10)/Datos!U10),(Datos!K10-Datos!U10)/Datos!U10," - ")</f>
        <v>-0.5357142857142857</v>
      </c>
      <c r="E10" s="456">
        <f>IF(ISNUMBER((Datos!L10-Datos!V10)/Datos!V10),(Datos!L10-Datos!V10)/Datos!V10," - ")</f>
        <v>0.17647058823529413</v>
      </c>
      <c r="F10" s="456">
        <f>IF(ISNUMBER((Datos!M10-Datos!W10)/Datos!W10),(Datos!M10-Datos!W10)/Datos!W10," - ")</f>
        <v>-0.7</v>
      </c>
      <c r="G10" s="457">
        <f>IF(ISNUMBER((Datos!N10-Datos!X10)/Datos!X10),(Datos!N10-Datos!X10)/Datos!X10," - ")</f>
        <v>-0.55555555555555558</v>
      </c>
      <c r="H10" s="455">
        <f>IF(ISNUMBER(((NºAsuntos!G10/NºAsuntos!E10)-Datos!BD10)/Datos!BD10),((NºAsuntos!G10/NºAsuntos!E10)-Datos!BD10)/Datos!BD10," - ")</f>
        <v>-0.4472789115646259</v>
      </c>
      <c r="I10" s="456">
        <f>IF(ISNUMBER(((NºAsuntos!I10/NºAsuntos!G10)-Datos!BE10)/Datos!BE10),((NºAsuntos!I10/NºAsuntos!G10)-Datos!BE10)/Datos!BE10," - ")</f>
        <v>1.5339366515837107</v>
      </c>
      <c r="J10" s="461">
        <f>IF(ISNUMBER((('Resol  Asuntos'!D10/NºAsuntos!G10)-Datos!BF10)/Datos!BF10),(('Resol  Asuntos'!D10/NºAsuntos!G10)-Datos!BF10)/Datos!BF10," - ")</f>
        <v>-0.35384615384615381</v>
      </c>
      <c r="K10" s="462">
        <f>IF(ISNUMBER((((NºAsuntos!C10+NºAsuntos!E10)/NºAsuntos!G10)-Datos!BG10)/Datos!BG10),(((NºAsuntos!C10+NºAsuntos!E10)/NºAsuntos!G10)-Datos!BG10)/Datos!BG10," - ")</f>
        <v>0.84119106699751833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0.23792486583184258</v>
      </c>
      <c r="C12" s="456">
        <f>IF(ISNUMBER(
   IF(J_V="SI",(Datos!J12-Datos!T12)/Datos!T12,(Datos!J12+Datos!Z12-(Datos!T12+Datos!AH12))/(Datos!T12+Datos!AH12))
     ),IF(J_V="SI",(Datos!J12-Datos!T12)/Datos!T12,(Datos!J12+Datos!Z12-(Datos!T12+Datos!AH12))/(Datos!T12+Datos!AH12))," - ")</f>
        <v>0.65781710914454272</v>
      </c>
      <c r="D12" s="456">
        <f>IF(ISNUMBER(
   IF(J_V="SI",(Datos!K12-Datos!U12)/Datos!U12,(Datos!K12+Datos!AA12-(Datos!U12+Datos!AI12))/(Datos!U12+Datos!AI12))
     ),IF(J_V="SI",(Datos!K12-Datos!U12)/Datos!U12,(Datos!K12+Datos!AA12-(Datos!U12+Datos!AI12))/(Datos!U12+Datos!AI12))," - ")</f>
        <v>-2.7932960893854749E-3</v>
      </c>
      <c r="E12" s="456">
        <f>IF(ISNUMBER(
   IF(J_V="SI",(Datos!L12-Datos!V12)/Datos!V12,(Datos!L12+Datos!AB12-(Datos!V12+Datos!AJ12))/(Datos!V12+Datos!AJ12))
     ),IF(J_V="SI",(Datos!L12-Datos!V12)/Datos!V12,(Datos!L12+Datos!AB12-(Datos!V12+Datos!AJ12))/(Datos!V12+Datos!AJ12))," - ")</f>
        <v>0.66203703703703709</v>
      </c>
      <c r="F12" s="456">
        <f>IF(ISNUMBER((Datos!M12-Datos!W12)/Datos!W12),(Datos!M12-Datos!W12)/Datos!W12," - ")</f>
        <v>-3.8216560509554139E-2</v>
      </c>
      <c r="G12" s="457">
        <f>IF(ISNUMBER((Datos!N12-Datos!X12)/Datos!X12),(Datos!N12-Datos!X12)/Datos!X12," - ")</f>
        <v>4.5283018867924525E-2</v>
      </c>
      <c r="H12" s="455">
        <f>IF(ISNUMBER(((NºAsuntos!G12/NºAsuntos!E12)-Datos!BD12)/Datos!BD12),((NºAsuntos!G12/NºAsuntos!E12)-Datos!BD12)/Datos!BD12," - ")</f>
        <v>-0.39848207717847273</v>
      </c>
      <c r="I12" s="456">
        <f>IF(ISNUMBER(((NºAsuntos!I12/NºAsuntos!G12)-Datos!BE12)/Datos!BE12),((NºAsuntos!I12/NºAsuntos!G12)-Datos!BE12)/Datos!BE12," - ")</f>
        <v>0.66669260296711264</v>
      </c>
      <c r="J12" s="461">
        <f>IF(ISNUMBER((('Resol  Asuntos'!D12/NºAsuntos!G12)-Datos!BF12)/Datos!BF12),(('Resol  Asuntos'!D12/NºAsuntos!G12)-Datos!BF12)/Datos!BF12," - ")</f>
        <v>-0.42859256910311294</v>
      </c>
      <c r="K12" s="462">
        <f>IF(ISNUMBER((((NºAsuntos!C12+NºAsuntos!E12)/NºAsuntos!G12)-Datos!BG12)/Datos!BG12),(((NºAsuntos!C12+NºAsuntos!E12)/NºAsuntos!G12)-Datos!BG12)/Datos!BG12," - ")</f>
        <v>0.40034811251894964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0.22597402597402597</v>
      </c>
      <c r="C13" s="855">
        <f>IF(ISNUMBER(
   IF(J_V="SI",(Datos!J13-Datos!T13)/Datos!T13,(Datos!J13+Datos!Z13-(Datos!T13+Datos!AH13))/(Datos!T13+Datos!AH13))
     ),IF(J_V="SI",(Datos!J13-Datos!T13)/Datos!T13,(Datos!J13+Datos!Z13-(Datos!T13+Datos!AH13))/(Datos!T13+Datos!AH13))," - ")</f>
        <v>0.62873399715504974</v>
      </c>
      <c r="D13" s="855">
        <f>IF(ISNUMBER(
   IF(J_V="SI",(Datos!K13-Datos!U13)/Datos!U13,(Datos!K13+Datos!AA13-(Datos!U13+Datos!AI13))/(Datos!U13+Datos!AI13))
     ),IF(J_V="SI",(Datos!K13-Datos!U13)/Datos!U13,(Datos!K13+Datos!AA13-(Datos!U13+Datos!AI13))/(Datos!U13+Datos!AI13))," - ")</f>
        <v>-2.2849462365591398E-2</v>
      </c>
      <c r="E13" s="855">
        <f>IF(ISNUMBER(
   IF(J_V="SI",(Datos!L13-Datos!V13)/Datos!V13,(Datos!L13+Datos!AB13-(Datos!V13+Datos!AJ13))/(Datos!V13+Datos!AJ13))
     ),IF(J_V="SI",(Datos!L13-Datos!V13)/Datos!V13,(Datos!L13+Datos!AB13-(Datos!V13+Datos!AJ13))/(Datos!V13+Datos!AJ13))," - ")</f>
        <v>0.64721723518850982</v>
      </c>
      <c r="F13" s="856">
        <f>IF(ISNUMBER((Datos!M13-Datos!W13)/Datos!W13),(Datos!M13-Datos!W13)/Datos!W13," - ")</f>
        <v>-7.7844311377245512E-2</v>
      </c>
      <c r="G13" s="857">
        <f>IF(ISNUMBER((Datos!N13-Datos!X13)/Datos!X13),(Datos!N13-Datos!X13)/Datos!X13," - ")</f>
        <v>2.5547445255474453E-2</v>
      </c>
      <c r="H13" s="857">
        <f>IF(ISNUMBER(((NºAsuntos!G13/NºAsuntos!E13)-Datos!BD13)/Datos!BD13),((NºAsuntos!G13/NºAsuntos!E13)-Datos!BD13)/Datos!BD13," - ")</f>
        <v>-0.40005517208996577</v>
      </c>
      <c r="I13" s="857">
        <f>IF(ISNUMBER(((NºAsuntos!I13/NºAsuntos!G13)-Datos!BE13)/Datos!BE13),((NºAsuntos!I13/NºAsuntos!G13)-Datos!BE13)/Datos!BE13," - ")</f>
        <v>0.6857353823662331</v>
      </c>
      <c r="J13" s="857">
        <f>IF(ISNUMBER((('Resol  Asuntos'!D13/NºAsuntos!G13)-Datos!BF13)/Datos!BF13),(('Resol  Asuntos'!D13/NºAsuntos!G13)-Datos!BF13)/Datos!BF13," - ")</f>
        <v>-0.42690508940852817</v>
      </c>
      <c r="K13" s="857">
        <f>IF(ISNUMBER((((NºAsuntos!C13+NºAsuntos!E13)/NºAsuntos!G13)-Datos!BG13)/Datos!BG13),(((NºAsuntos!C13+NºAsuntos!E13)/NºAsuntos!G13)-Datos!BG13)/Datos!BG13," - ")</f>
        <v>0.41059517340531226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0.20495867768595041</v>
      </c>
      <c r="C16" s="456">
        <f>IF(ISNUMBER(
   IF(D_I="SI",(Datos!J16-Datos!T16)/Datos!T16,(Datos!J16+Datos!AD16-(Datos!T16+Datos!AL16))/(Datos!T16+Datos!AL16))
     ),IF(D_I="SI",(Datos!J16-Datos!T16)/Datos!T16,(Datos!J16+Datos!AD16-(Datos!T16+Datos!AL16))/(Datos!T16+Datos!AL16))," - ")</f>
        <v>-3.4762456546929318E-2</v>
      </c>
      <c r="D16" s="456">
        <f>IF(ISNUMBER(
   IF(D_I="SI",(Datos!K16-Datos!U16)/Datos!U16,(Datos!K16+Datos!AE16-(Datos!U16+Datos!AM16))/(Datos!U16+Datos!AM16))
     ),IF(D_I="SI",(Datos!K16-Datos!U16)/Datos!U16,(Datos!K16+Datos!AE16-(Datos!U16+Datos!AM16))/(Datos!U16+Datos!AM16))," - ")</f>
        <v>-1.5037593984962405E-2</v>
      </c>
      <c r="E16" s="456">
        <f>IF(ISNUMBER(
   IF(D_I="SI",(Datos!L16-Datos!V16)/Datos!V16,(Datos!L16+Datos!AF16-(Datos!V16+Datos!AN16))/(Datos!V16+Datos!AN16))
     ),IF(D_I="SI",(Datos!L16-Datos!V16)/Datos!V16,(Datos!L16+Datos!AF16-(Datos!V16+Datos!AN16))/(Datos!V16+Datos!AN16))," - ")</f>
        <v>0.68073394495412842</v>
      </c>
      <c r="F16" s="456">
        <f>IF(ISNUMBER((Datos!M16-Datos!W16)/Datos!W16),(Datos!M16-Datos!W16)/Datos!W16," - ")</f>
        <v>-0.54545454545454541</v>
      </c>
      <c r="G16" s="457">
        <f>IF(ISNUMBER((Datos!N16-Datos!X16)/Datos!X16),(Datos!N16-Datos!X16)/Datos!X16," - ")</f>
        <v>0.13388429752066117</v>
      </c>
      <c r="H16" s="455">
        <f>IF(ISNUMBER(((NºAsuntos!G16/NºAsuntos!E16)-Datos!BD16)/Datos!BD16),((NºAsuntos!G16/NºAsuntos!E16)-Datos!BD16)/Datos!BD16," - ")</f>
        <v>2.0435241765879342E-2</v>
      </c>
      <c r="I16" s="456">
        <f>IF(ISNUMBER(((NºAsuntos!I16/NºAsuntos!G16)-Datos!BE16)/Datos!BE16),((NºAsuntos!I16/NºAsuntos!G16)-Datos!BE16)/Datos!BE16," - ")</f>
        <v>0.70639400518243578</v>
      </c>
      <c r="J16" s="461">
        <f>IF(ISNUMBER((('Resol  Asuntos'!D16/NºAsuntos!G16)-Datos!BF16)/Datos!BF16),(('Resol  Asuntos'!D16/NºAsuntos!G16)-Datos!BF16)/Datos!BF16," - ")</f>
        <v>-0.53851492019430947</v>
      </c>
      <c r="K16" s="462">
        <f>IF(ISNUMBER((((NºAsuntos!C16+NºAsuntos!E16)/NºAsuntos!G16)-Datos!BG16)/Datos!BG16),(((NºAsuntos!C16+NºAsuntos!E16)/NºAsuntos!G16)-Datos!BG16)/Datos!BG16," - ")</f>
        <v>8.0277471556045463E-2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0.19178082191780821</v>
      </c>
      <c r="D17" s="456">
        <f>IF(ISNUMBER(
   IF(D_I="SI",(Datos!K17-Datos!U17)/Datos!U17,(Datos!K17+Datos!AE17-(Datos!U17+Datos!AM17))/(Datos!U17+Datos!AM17))
     ),IF(D_I="SI",(Datos!K17-Datos!U17)/Datos!U17,(Datos!K17+Datos!AE17-(Datos!U17+Datos!AM17))/(Datos!U17+Datos!AM17))," - ")</f>
        <v>0.10526315789473684</v>
      </c>
      <c r="E17" s="456">
        <f>IF(ISNUMBER(
   IF(D_I="SI",(Datos!L17-Datos!V17)/Datos!V17,(Datos!L17+Datos!AF17-(Datos!V17+Datos!AN17))/(Datos!V17+Datos!AN17))
     ),IF(D_I="SI",(Datos!L17-Datos!V17)/Datos!V17,(Datos!L17+Datos!AF17-(Datos!V17+Datos!AN17))/(Datos!V17+Datos!AN17))," - ")</f>
        <v>0.65573770491803274</v>
      </c>
      <c r="F17" s="456">
        <f>IF(ISNUMBER((Datos!M17-Datos!W17)/Datos!W17),(Datos!M17-Datos!W17)/Datos!W17," - ")</f>
        <v>-0.6428571428571429</v>
      </c>
      <c r="G17" s="457">
        <f>IF(ISNUMBER((Datos!N17-Datos!X17)/Datos!X17),(Datos!N17-Datos!X17)/Datos!X17," - ")</f>
        <v>7.4999999999999997E-2</v>
      </c>
      <c r="H17" s="455">
        <f>IF(ISNUMBER(((NºAsuntos!G17/NºAsuntos!E17)-Datos!BD17)/Datos!BD17),((NºAsuntos!G17/NºAsuntos!E17)-Datos!BD17)/Datos!BD17," - ")</f>
        <v>-7.259528130671497E-2</v>
      </c>
      <c r="I17" s="456">
        <f>IF(ISNUMBER(((NºAsuntos!I17/NºAsuntos!G17)-Datos!BE17)/Datos!BE17),((NºAsuntos!I17/NºAsuntos!G17)-Datos!BE17)/Datos!BE17," - ")</f>
        <v>0.49804839968774378</v>
      </c>
      <c r="J17" s="461">
        <f>IF(ISNUMBER((('Resol  Asuntos'!D17/NºAsuntos!G17)-Datos!BF17)/Datos!BF17),(('Resol  Asuntos'!D17/NºAsuntos!G17)-Datos!BF17)/Datos!BF17," - ")</f>
        <v>-0.6768707482993197</v>
      </c>
      <c r="K17" s="462">
        <f>IF(ISNUMBER((((NºAsuntos!C17+NºAsuntos!E17)/NºAsuntos!G17)-Datos!BG17)/Datos!BG17),(((NºAsuntos!C17+NºAsuntos!E17)/NºAsuntos!G17)-Datos!BG17)/Datos!BG17," - ")</f>
        <v>0.2085505735140771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0.23318385650224216</v>
      </c>
      <c r="C18" s="855">
        <f>IF(ISNUMBER(
   IF(Criterios!B14="SI",(Datos!J18-Datos!T18)/Datos!T18,(Datos!J18+Datos!AD18-(Datos!T18+Datos!AL18))/(Datos!T18+Datos!AL18))
     ),IF(Criterios!B14="SI",(Datos!J18-Datos!T18)/Datos!T18,(Datos!J18+Datos!AD18-(Datos!T18+Datos!AL18))/(Datos!T18+Datos!AL18))," - ")</f>
        <v>-1.7094017094017096E-2</v>
      </c>
      <c r="D18" s="855">
        <f>IF(ISNUMBER(
   IF(Criterios!B14="SI",(Datos!K18-Datos!U18)/Datos!U18,(Datos!K18+Datos!AE18-(Datos!U18+Datos!AM18))/(Datos!U18+Datos!AM18))
     ),IF(Criterios!B14="SI",(Datos!K18-Datos!U18)/Datos!U18,(Datos!K18+Datos!AE18-(Datos!U18+Datos!AM18))/(Datos!U18+Datos!AM18))," - ")</f>
        <v>-5.9582919563058593E-3</v>
      </c>
      <c r="E18" s="855">
        <f>IF(ISNUMBER(
   IF(Criterios!B14="SI",(Datos!L18-Datos!V18)/Datos!V18,(Datos!L18+Datos!AF18-(Datos!V18+Datos!AN18))/(Datos!V18+Datos!AN18))
     ),IF(Criterios!B14="SI",(Datos!L18-Datos!V18)/Datos!V18,(Datos!L18+Datos!AF18-(Datos!V18+Datos!AN18))/(Datos!V18+Datos!AN18))," - ")</f>
        <v>0.67821782178217827</v>
      </c>
      <c r="F18" s="856">
        <f>IF(ISNUMBER((Datos!M18-Datos!W18)/Datos!W18),(Datos!M18-Datos!W18)/Datos!W18," - ")</f>
        <v>-0.55555555555555558</v>
      </c>
      <c r="G18" s="857">
        <f>IF(ISNUMBER((Datos!N18-Datos!X18)/Datos!X18),(Datos!N18-Datos!X18)/Datos!X18," - ")</f>
        <v>0.13023255813953488</v>
      </c>
      <c r="H18" s="857">
        <f>IF(ISNUMBER(((NºAsuntos!G18/NºAsuntos!E18)-Datos!BD18)/Datos!BD18),((NºAsuntos!G18/NºAsuntos!E18)-Datos!BD18)/Datos!BD18," - ")</f>
        <v>1.1329389922715049E-2</v>
      </c>
      <c r="I18" s="857">
        <f>IF(ISNUMBER(((NºAsuntos!I18/NºAsuntos!G18)-Datos!BE18)/Datos!BE18),((NºAsuntos!I18/NºAsuntos!G18)-Datos!BE18)/Datos!BE18," - ")</f>
        <v>0.6882770694651883</v>
      </c>
      <c r="J18" s="857">
        <f>IF(ISNUMBER((('Resol  Asuntos'!D18/NºAsuntos!G18)-Datos!BF18)/Datos!BF18),(('Resol  Asuntos'!D18/NºAsuntos!G18)-Datos!BF18)/Datos!BF18," - ")</f>
        <v>-0.5528915528915529</v>
      </c>
      <c r="K18" s="857">
        <f>IF(ISNUMBER((((NºAsuntos!C18+NºAsuntos!E18)/NºAsuntos!G18)-Datos!BG18)/Datos!BG18),(((NºAsuntos!C18+NºAsuntos!E18)/NºAsuntos!G18)-Datos!BG18)/Datos!BG18," - ")</f>
        <v>9.3744261968561005E-2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0.22861842105263158</v>
      </c>
      <c r="C19" s="802">
        <f>IF(ISNUMBER(
   IF(J_V="SI",(Datos!J19-Datos!T19)/Datos!T19,(Datos!J19+Datos!Z19-(Datos!T19+Datos!AH19))/(Datos!T19+Datos!AH19))
     ),IF(J_V="SI",(Datos!J19-Datos!T19)/Datos!T19,(Datos!J19+Datos!Z19-(Datos!T19+Datos!AH19))/(Datos!T19+Datos!AH19))," - ")</f>
        <v>0.25991458206223306</v>
      </c>
      <c r="D19" s="802">
        <f>IF(ISNUMBER(
   IF(J_V="SI",(Datos!K19-Datos!U19)/Datos!U19,(Datos!K19+Datos!AA19-(Datos!U19+Datos!AI19))/(Datos!U19+Datos!AI19))
     ),IF(J_V="SI",(Datos!K19-Datos!U19)/Datos!U19,(Datos!K19+Datos!AA19-(Datos!U19+Datos!AI19))/(Datos!U19+Datos!AI19))," - ")</f>
        <v>-1.3135351227869789E-2</v>
      </c>
      <c r="E19" s="802">
        <f>IF(ISNUMBER(
   IF(J_V="SI",(Datos!L19-Datos!V19)/Datos!V19,(Datos!L19+Datos!AB19-(Datos!V19+Datos!AJ19))/(Datos!V19+Datos!AJ19))
     ),IF(J_V="SI",(Datos!L19-Datos!V19)/Datos!V19,(Datos!L19+Datos!AB19-(Datos!V19+Datos!AJ19))/(Datos!V19+Datos!AJ19))," - ")</f>
        <v>0.6581395348837209</v>
      </c>
      <c r="F19" s="803">
        <f>IF(ISNUMBER((Datos!M19-Datos!W19)/Datos!W19),(Datos!M19-Datos!W19)/Datos!W19," - ")</f>
        <v>-0.29139072847682118</v>
      </c>
      <c r="G19" s="804">
        <f>IF(ISNUMBER((Datos!N19-Datos!X19)/Datos!X19),(Datos!N19-Datos!X19)/Datos!X19," - ")</f>
        <v>9.9020674646354737E-2</v>
      </c>
      <c r="H19" s="805">
        <f>IF(ISNUMBER((Tasas!B19-Datos!BD19)/Datos!BD19),(Tasas!B19-Datos!BD19)/Datos!BD19," - ")</f>
        <v>-0.21672098821427538</v>
      </c>
      <c r="I19" s="806">
        <f>IF(ISNUMBER((Tasas!C19-Datos!BE19)/Datos!BE19),(Tasas!C19-Datos!BE19)/Datos!BE19," - ")</f>
        <v>0.68020967915590014</v>
      </c>
      <c r="J19" s="807">
        <f>IF(ISNUMBER((Tasas!D19-Datos!BF19)/Datos!BF19),(Tasas!D19-Datos!BF19)/Datos!BF19," - ")</f>
        <v>-0.47110151309846432</v>
      </c>
      <c r="K19" s="807">
        <f>IF(ISNUMBER((Tasas!E19-Datos!BG19)/Datos!BG19),(Tasas!E19-Datos!BG19)/Datos!BG19," - ")</f>
        <v>0.25998084245088299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cVPCoCqoQ/sioQT3EzNGJOQ4h6U/BaTvMEU0asyAfPtjcFdP5gXJvo+h8zzTfZ9hqcE/1ko54e/cTZ3UCvuzw==" saltValue="L4yDzbIDgWphOMnqK7bc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UBEDA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0.61904761904761907</v>
      </c>
      <c r="C10" s="443">
        <f>IF(ISNUMBER(NºAsuntos!I10/NºAsuntos!G10),NºAsuntos!I10/NºAsuntos!G10," - ")</f>
        <v>3.0769230769230771</v>
      </c>
      <c r="D10" s="444">
        <f>IF(ISNUMBER('Resol  Asuntos'!D10/NºAsuntos!G10),'Resol  Asuntos'!D10/NºAsuntos!G10," - ")</f>
        <v>0.23076923076923078</v>
      </c>
      <c r="E10" s="445">
        <f>IF(ISNUMBER((NºAsuntos!C10+NºAsuntos!E10)/NºAsuntos!G10),(NºAsuntos!C10+NºAsuntos!E10)/NºAsuntos!G10," - ")</f>
        <v>4.0769230769230766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0.63523131672597866</v>
      </c>
      <c r="C12" s="443">
        <f>IF(ISNUMBER(NºAsuntos!I12/NºAsuntos!G12),NºAsuntos!I12/NºAsuntos!G12," - ")</f>
        <v>2.5140056022408963</v>
      </c>
      <c r="D12" s="444">
        <f>IF(ISNUMBER('Resol  Asuntos'!D12/NºAsuntos!G12),'Resol  Asuntos'!D12/NºAsuntos!G12," - ")</f>
        <v>0.21148459383753501</v>
      </c>
      <c r="E12" s="445">
        <f>IF(ISNUMBER((NºAsuntos!C12+NºAsuntos!E12)/NºAsuntos!G12),(NºAsuntos!C12+NºAsuntos!E12)/NºAsuntos!G12," - ")</f>
        <v>3.5126050420168067</v>
      </c>
      <c r="G12" s="463"/>
    </row>
    <row r="13" spans="1:7" ht="14.25" thickTop="1" thickBot="1">
      <c r="A13" s="848" t="str">
        <f>Datos!A13</f>
        <v>TOTAL</v>
      </c>
      <c r="B13" s="858">
        <f>IF(ISNUMBER(NºAsuntos!G13/NºAsuntos!E13),NºAsuntos!G13/NºAsuntos!E13," - ")</f>
        <v>0.63493449781659383</v>
      </c>
      <c r="C13" s="859">
        <f>IF(ISNUMBER(NºAsuntos!I13/NºAsuntos!G13),NºAsuntos!I13/NºAsuntos!G13," - ")</f>
        <v>2.5240715268225586</v>
      </c>
      <c r="D13" s="860">
        <f>IF(ISNUMBER('Resol  Asuntos'!D13/NºAsuntos!G13),'Resol  Asuntos'!D13/NºAsuntos!G13," - ")</f>
        <v>0.21182943603851445</v>
      </c>
      <c r="E13" s="861">
        <f>IF(ISNUMBER((NºAsuntos!C13+NºAsuntos!E13)/NºAsuntos!G13),(NºAsuntos!C13+NºAsuntos!E13)/NºAsuntos!G13," - ")</f>
        <v>3.5226960110041263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1.1008403361344539</v>
      </c>
      <c r="C16" s="443">
        <f>IF(ISNUMBER(NºAsuntos!I16/NºAsuntos!G16),NºAsuntos!I16/NºAsuntos!G16," - ")</f>
        <v>0.99890948745910579</v>
      </c>
      <c r="D16" s="444">
        <f>IF(ISNUMBER('Resol  Asuntos'!D16/NºAsuntos!G16),'Resol  Asuntos'!D16/NºAsuntos!G16," - ")</f>
        <v>5.9978189749182113E-2</v>
      </c>
      <c r="E16" s="445">
        <f>IF(ISNUMBER((NºAsuntos!C16+NºAsuntos!E16)/NºAsuntos!G16),(NºAsuntos!C16+NºAsuntos!E16)/NºAsuntos!G16," - ")</f>
        <v>1.7033805888767721</v>
      </c>
      <c r="G16" s="463"/>
    </row>
    <row r="17" spans="1:7" ht="13.5" thickBot="1">
      <c r="A17" s="402" t="str">
        <f>Datos!A17</f>
        <v>Jdos. Violencia contra la mujer</v>
      </c>
      <c r="B17" s="442">
        <f>IF(ISNUMBER(NºAsuntos!G17/NºAsuntos!E17),NºAsuntos!G17/NºAsuntos!E17," - ")</f>
        <v>0.96551724137931039</v>
      </c>
      <c r="C17" s="443">
        <f>IF(ISNUMBER(NºAsuntos!I17/NºAsuntos!G17),NºAsuntos!I17/NºAsuntos!G17," - ")</f>
        <v>1.2023809523809523</v>
      </c>
      <c r="D17" s="444">
        <f>IF(ISNUMBER('Resol  Asuntos'!D17/NºAsuntos!G17),'Resol  Asuntos'!D17/NºAsuntos!G17," - ")</f>
        <v>5.9523809523809521E-2</v>
      </c>
      <c r="E17" s="445">
        <f>IF(ISNUMBER((NºAsuntos!C17+NºAsuntos!E17)/NºAsuntos!G17),(NºAsuntos!C17+NºAsuntos!E17)/NºAsuntos!G17," - ")</f>
        <v>2.1785714285714284</v>
      </c>
      <c r="G17" s="463"/>
    </row>
    <row r="18" spans="1:7" ht="14.25" thickTop="1" thickBot="1">
      <c r="A18" s="848" t="str">
        <f>Datos!A18</f>
        <v>TOTAL</v>
      </c>
      <c r="B18" s="858">
        <f>IF(ISNUMBER(NºAsuntos!G18/NºAsuntos!E18),NºAsuntos!G18/NºAsuntos!E18," - ")</f>
        <v>1.0880434782608697</v>
      </c>
      <c r="C18" s="859">
        <f>IF(ISNUMBER(NºAsuntos!I18/NºAsuntos!G18),NºAsuntos!I18/NºAsuntos!G18," - ")</f>
        <v>1.0159840159840159</v>
      </c>
      <c r="D18" s="862">
        <f>IF(ISNUMBER('Resol  Asuntos'!D18/NºAsuntos!G18),'Resol  Asuntos'!D18/NºAsuntos!G18," - ")</f>
        <v>5.9940059940059943E-2</v>
      </c>
      <c r="E18" s="861">
        <f>IF(ISNUMBER((NºAsuntos!C18+NºAsuntos!E18)/NºAsuntos!G18),(NºAsuntos!C18+NºAsuntos!E18)/NºAsuntos!G18," - ")</f>
        <v>1.7432567432567432</v>
      </c>
      <c r="G18" s="463"/>
    </row>
    <row r="19" spans="1:7" ht="15.75" customHeight="1" thickTop="1" thickBot="1">
      <c r="A19" s="793" t="str">
        <f>Datos!A19</f>
        <v>TOTAL JURISDICCIONES</v>
      </c>
      <c r="B19" s="808">
        <f>IF(ISNUMBER(NºAsuntos!G19/NºAsuntos!E19),NºAsuntos!G19/NºAsuntos!E19," - ")</f>
        <v>0.83680387409200974</v>
      </c>
      <c r="C19" s="809">
        <f>IF(ISNUMBER(NºAsuntos!I19/NºAsuntos!G19),NºAsuntos!I19/NºAsuntos!G19," - ")</f>
        <v>1.650462962962963</v>
      </c>
      <c r="D19" s="810">
        <f>IF(ISNUMBER('Resol  Asuntos'!D19/NºAsuntos!G19),'Resol  Asuntos'!D19/NºAsuntos!G19," - ")</f>
        <v>0.12384259259259259</v>
      </c>
      <c r="E19" s="811">
        <f>IF(ISNUMBER((NºAsuntos!C19+NºAsuntos!E19)/NºAsuntos!G19),(NºAsuntos!C19+NºAsuntos!E19)/NºAsuntos!G19," - ")</f>
        <v>2.4918981481481484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m6H1NqyKYYNWIu32yeItFZzVsPNlYHhLjSNksXFTXxG+rC/yZj6rEIsELJRV5wJJy673TCGl46QwxzNmFyZlw==" saltValue="L4vuDcHeLkNBe8f6M02E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UBEDA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1</v>
      </c>
      <c r="Y10" s="334">
        <f t="shared" ref="Y10:Y12" si="0">SUM(W10:X10)</f>
        <v>14</v>
      </c>
      <c r="Z10" s="335" t="str">
        <f>IF(ISNUMBER(Datos!CC10),Datos!CC10," - ")</f>
        <v xml:space="preserve"> - </v>
      </c>
      <c r="AA10" s="332">
        <f>IF(ISNUMBER(Datos!L10),Datos!L10,"-")</f>
        <v>40</v>
      </c>
      <c r="AB10" s="334">
        <f>IF(ISNUMBER(Datos!R10),Datos!R10," - ")</f>
        <v>4</v>
      </c>
      <c r="AC10" s="334">
        <f t="shared" ref="AC10:AC12" si="1">IF(ISNUMBER(AA10+AB10),AA10+AB10," - ")</f>
        <v>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0.61904761904761907</v>
      </c>
      <c r="AM10" s="260">
        <f>IF(ISNUMBER(((NºAsuntos!I10/NºAsuntos!G10)*11)/factor_trimestre),((NºAsuntos!I10/NºAsuntos!G10)*11)/factor_trimestre," - ")</f>
        <v>9.2307692307692317</v>
      </c>
      <c r="AN10" s="244">
        <f>IF(ISNUMBER('Resol  Asuntos'!D10/NºAsuntos!G10),'Resol  Asuntos'!D10/NºAsuntos!G10," - ")</f>
        <v>0.23076923076923078</v>
      </c>
      <c r="AO10" s="245">
        <f>IF(ISNUMBER((NºAsuntos!C10+NºAsuntos!E10)/NºAsuntos!G10),(NºAsuntos!C10+NºAsuntos!E10)/NºAsuntos!G10," - ")</f>
        <v>4.0769230769230766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75</v>
      </c>
      <c r="Y12" s="334">
        <f t="shared" si="0"/>
        <v>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151</v>
      </c>
      <c r="AJ12" s="229" t="str">
        <f>IF(ISNUMBER(Datos!BW12),Datos!BW12," - ")</f>
        <v xml:space="preserve"> - </v>
      </c>
      <c r="AK12" s="228" t="str">
        <f>IF(ISNUMBER(Datos!BX12),Datos!BX12," - ")</f>
        <v xml:space="preserve"> - </v>
      </c>
      <c r="AL12" s="243">
        <f>IF(ISNUMBER(NºAsuntos!G12/NºAsuntos!E12),NºAsuntos!G12/NºAsuntos!E12," - ")</f>
        <v>0.63523131672597866</v>
      </c>
      <c r="AM12" s="260">
        <f>IF(ISNUMBER(((NºAsuntos!I12/NºAsuntos!G12)*11)/factor_trimestre),((NºAsuntos!I12/NºAsuntos!G12)*11)/factor_trimestre," - ")</f>
        <v>7.5420168067226889</v>
      </c>
      <c r="AN12" s="244">
        <f>IF(ISNUMBER('Resol  Asuntos'!D12/NºAsuntos!G12),'Resol  Asuntos'!D12/NºAsuntos!G12," - ")</f>
        <v>0.21148459383753501</v>
      </c>
      <c r="AO12" s="245">
        <f>IF(ISNUMBER((NºAsuntos!C12+NºAsuntos!E12)/NºAsuntos!G12),(NºAsuntos!C12+NºAsuntos!E12)/NºAsuntos!G12," - ")</f>
        <v>3.5126050420168067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32</v>
      </c>
      <c r="G13" s="866">
        <f t="shared" si="3"/>
        <v>32</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76</v>
      </c>
      <c r="Y13" s="868">
        <f t="shared" si="4"/>
        <v>89</v>
      </c>
      <c r="Z13" s="868">
        <f t="shared" si="4"/>
        <v>0</v>
      </c>
      <c r="AA13" s="868">
        <f t="shared" si="4"/>
        <v>40</v>
      </c>
      <c r="AB13" s="868">
        <f t="shared" si="4"/>
        <v>2187</v>
      </c>
      <c r="AC13" s="868">
        <f t="shared" si="4"/>
        <v>44</v>
      </c>
      <c r="AD13" s="868">
        <f t="shared" si="4"/>
        <v>0</v>
      </c>
      <c r="AE13" s="872">
        <f t="shared" si="4"/>
        <v>0</v>
      </c>
      <c r="AF13" s="865">
        <f t="shared" si="4"/>
        <v>0</v>
      </c>
      <c r="AG13" s="873">
        <f t="shared" si="4"/>
        <v>0</v>
      </c>
      <c r="AH13" s="870">
        <f t="shared" si="4"/>
        <v>0</v>
      </c>
      <c r="AI13" s="865">
        <f t="shared" si="4"/>
        <v>154</v>
      </c>
      <c r="AJ13" s="867">
        <f t="shared" si="4"/>
        <v>0</v>
      </c>
      <c r="AK13" s="870">
        <f>SUBTOTAL(9,AK9:AK12)</f>
        <v>0</v>
      </c>
      <c r="AL13" s="874">
        <f>IF(ISNUMBER(NºAsuntos!G13/NºAsuntos!E13),NºAsuntos!G13/NºAsuntos!E13," - ")</f>
        <v>0.63493449781659383</v>
      </c>
      <c r="AM13" s="874">
        <f>IF(ISNUMBER(((NºAsuntos!I13/NºAsuntos!G13)*11)/factor_trimestre),((NºAsuntos!I13/NºAsuntos!G13)*11)/factor_trimestre," - ")</f>
        <v>7.5722145804676764</v>
      </c>
      <c r="AN13" s="875">
        <f>IF(ISNUMBER('Resol  Asuntos'!D13/NºAsuntos!G13),'Resol  Asuntos'!D13/NºAsuntos!G13," - ")</f>
        <v>0.21182943603851445</v>
      </c>
      <c r="AO13" s="876">
        <f>IF(ISNUMBER((NºAsuntos!C13+NºAsuntos!E13)/NºAsuntos!G13),(NºAsuntos!C13+NºAsuntos!E13)/NºAsuntos!G13," - ")</f>
        <v>3.5226960110041263</v>
      </c>
      <c r="AP13" s="877" t="str">
        <f t="shared" si="2"/>
        <v xml:space="preserve"> - </v>
      </c>
      <c r="AQ13" s="877">
        <f>IF(ISNUMBER((H13-W13+K13)/(F13)),(H13-W13+K13)/(F13)," - ")</f>
        <v>-0.40625</v>
      </c>
      <c r="AR13" s="878">
        <f>IF(ISNUMBER((Datos!P13-Datos!Q13)/(Datos!R13-Datos!P13+Datos!Q13)),(Datos!P13-Datos!Q13)/(Datos!R13-Datos!P13+Datos!Q13)," - ")</f>
        <v>2.100840336134454E-2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1000</v>
      </c>
      <c r="G16" s="333">
        <f>IF(ISNUMBER(IF(D_I="SI",Datos!I16,Datos!I16+Datos!AC16)),IF(D_I="SI",Datos!I16,Datos!I16+Datos!AC16)," - ")</f>
        <v>729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917</v>
      </c>
      <c r="X16" s="226">
        <f>IF(ISNUMBER(Datos!Q16),Datos!Q16," - ")</f>
        <v>13</v>
      </c>
      <c r="Y16" s="334">
        <f t="shared" ref="Y16:Y17" si="7">SUM(W16:X16)</f>
        <v>930</v>
      </c>
      <c r="Z16" s="335" t="str">
        <f>IF(ISNUMBER(Datos!CC16),Datos!CC16," - ")</f>
        <v xml:space="preserve"> - </v>
      </c>
      <c r="AA16" s="332">
        <f>IF(ISNUMBER(IF(D_I="SI",Datos!L16,Datos!L16+Datos!AF16)),IF(D_I="SI",Datos!L16,Datos!L16+Datos!AF16)," - ")</f>
        <v>916</v>
      </c>
      <c r="AB16" s="334">
        <f>IF(ISNUMBER(Datos!R16),Datos!R16," - ")</f>
        <v>134</v>
      </c>
      <c r="AC16" s="334">
        <f t="shared" si="6"/>
        <v>1050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1.1008403361344539</v>
      </c>
      <c r="AM16" s="260">
        <f>IF(ISNUMBER(((NºAsuntos!I16/NºAsuntos!G16)*11)/factor_trimestre),((NºAsuntos!I16/NºAsuntos!G16)*11)/factor_trimestre," - ")</f>
        <v>2.9967284623773178</v>
      </c>
      <c r="AN16" s="244">
        <f>IF(ISNUMBER('Resol  Asuntos'!D16/NºAsuntos!G16),'Resol  Asuntos'!D16/NºAsuntos!G16," - ")</f>
        <v>5.9978189749182113E-2</v>
      </c>
      <c r="AO16" s="245">
        <f>IF(ISNUMBER((NºAsuntos!C16+NºAsuntos!E16)/NºAsuntos!G16),(NºAsuntos!C16+NºAsuntos!E16)/NºAsuntos!G16," - ")</f>
        <v>1.7033805888767721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0</v>
      </c>
      <c r="Y17" s="334">
        <f t="shared" si="7"/>
        <v>84</v>
      </c>
      <c r="Z17" s="335" t="str">
        <f>IF(ISNUMBER(Datos!CC17),Datos!CC17," - ")</f>
        <v xml:space="preserve"> - </v>
      </c>
      <c r="AA17" s="332">
        <f>IF(ISNUMBER(Datos!L17),Datos!L17,"-")</f>
        <v>101</v>
      </c>
      <c r="AB17" s="334">
        <f>IF(ISNUMBER(Datos!R17),Datos!R17," - ")</f>
        <v>3</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0.96551724137931039</v>
      </c>
      <c r="AM17" s="260">
        <f>IF(ISNUMBER(((NºAsuntos!I17/NºAsuntos!G17)*11)/factor_trimestre),((NºAsuntos!I17/NºAsuntos!G17)*11)/factor_trimestre," - ")</f>
        <v>3.6071428571428572</v>
      </c>
      <c r="AN17" s="244">
        <f>IF(ISNUMBER('Resol  Asuntos'!D17/NºAsuntos!G17),'Resol  Asuntos'!D17/NºAsuntos!G17," - ")</f>
        <v>5.9523809523809521E-2</v>
      </c>
      <c r="AO17" s="245">
        <f>IF(ISNUMBER((NºAsuntos!C17+NºAsuntos!E17)/NºAsuntos!G17),(NºAsuntos!C17+NºAsuntos!E17)/NºAsuntos!G17," - ")</f>
        <v>2.1785714285714284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1000</v>
      </c>
      <c r="G18" s="866">
        <f>SUBTOTAL(9,G15:G17)</f>
        <v>825</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1001</v>
      </c>
      <c r="X18" s="867">
        <f t="shared" si="11"/>
        <v>13</v>
      </c>
      <c r="Y18" s="868">
        <f t="shared" si="11"/>
        <v>1014</v>
      </c>
      <c r="Z18" s="868">
        <f t="shared" si="11"/>
        <v>0</v>
      </c>
      <c r="AA18" s="868">
        <f t="shared" si="11"/>
        <v>1017</v>
      </c>
      <c r="AB18" s="868">
        <f t="shared" si="11"/>
        <v>137</v>
      </c>
      <c r="AC18" s="868">
        <f t="shared" si="11"/>
        <v>1154</v>
      </c>
      <c r="AD18" s="868">
        <f t="shared" si="11"/>
        <v>0</v>
      </c>
      <c r="AE18" s="872">
        <f t="shared" si="11"/>
        <v>0</v>
      </c>
      <c r="AF18" s="865">
        <f t="shared" si="11"/>
        <v>0</v>
      </c>
      <c r="AG18" s="873">
        <f t="shared" si="11"/>
        <v>0</v>
      </c>
      <c r="AH18" s="870">
        <f t="shared" si="11"/>
        <v>0</v>
      </c>
      <c r="AI18" s="865">
        <f t="shared" si="11"/>
        <v>60</v>
      </c>
      <c r="AJ18" s="867">
        <f t="shared" si="11"/>
        <v>0</v>
      </c>
      <c r="AK18" s="870">
        <f t="shared" si="11"/>
        <v>0</v>
      </c>
      <c r="AL18" s="874">
        <f>IF(ISNUMBER(NºAsuntos!G18/NºAsuntos!E18),NºAsuntos!G18/NºAsuntos!E18," - ")</f>
        <v>1.0880434782608697</v>
      </c>
      <c r="AM18" s="874">
        <f>IF(ISNUMBER(((NºAsuntos!I18/NºAsuntos!G18)*11)/factor_trimestre),((NºAsuntos!I18/NºAsuntos!G18)*11)/factor_trimestre," - ")</f>
        <v>3.0479520479520481</v>
      </c>
      <c r="AN18" s="875">
        <f>IF(ISNUMBER('Resol  Asuntos'!D18/NºAsuntos!G18),'Resol  Asuntos'!D18/NºAsuntos!G18," - ")</f>
        <v>5.9940059940059943E-2</v>
      </c>
      <c r="AO18" s="876">
        <f>IF(ISNUMBER((NºAsuntos!C18+NºAsuntos!E18)/NºAsuntos!G18),(NºAsuntos!C18+NºAsuntos!E18)/NºAsuntos!G18," - ")</f>
        <v>1.7432567432567432</v>
      </c>
      <c r="AP18" s="877" t="str">
        <f t="shared" si="2"/>
        <v xml:space="preserve"> - </v>
      </c>
      <c r="AQ18" s="877">
        <f>IF(ISNUMBER((H18-W18+K18)/(F18)),(H18-W18+K18)/(F18)," - ")</f>
        <v>-1.0009999999999999</v>
      </c>
      <c r="AR18" s="878">
        <f>IF(ISNUMBER((Datos!P18-Datos!Q18)/(Datos!R18-Datos!P18+Datos!Q18)),(Datos!P18-Datos!Q18)/(Datos!R18-Datos!P18+Datos!Q18)," - ")</f>
        <v>9.6000000000000002E-2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1032</v>
      </c>
      <c r="G19" s="821">
        <f t="shared" si="13"/>
        <v>857</v>
      </c>
      <c r="H19" s="820">
        <f t="shared" si="13"/>
        <v>0</v>
      </c>
      <c r="I19" s="822">
        <f t="shared" si="13"/>
        <v>0</v>
      </c>
      <c r="J19" s="822">
        <f t="shared" si="13"/>
        <v>0</v>
      </c>
      <c r="K19" s="881">
        <f t="shared" si="13"/>
        <v>0</v>
      </c>
      <c r="L19" s="822">
        <f t="shared" si="13"/>
        <v>146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1014</v>
      </c>
      <c r="X19" s="821">
        <f t="shared" si="14"/>
        <v>89</v>
      </c>
      <c r="Y19" s="828">
        <f t="shared" si="14"/>
        <v>1103</v>
      </c>
      <c r="Z19" s="828">
        <f t="shared" si="14"/>
        <v>0</v>
      </c>
      <c r="AA19" s="828">
        <f t="shared" si="14"/>
        <v>1057</v>
      </c>
      <c r="AB19" s="828">
        <f t="shared" si="14"/>
        <v>2324</v>
      </c>
      <c r="AC19" s="828">
        <f t="shared" si="14"/>
        <v>1198</v>
      </c>
      <c r="AD19" s="828">
        <f t="shared" si="14"/>
        <v>0</v>
      </c>
      <c r="AE19" s="830">
        <f t="shared" si="14"/>
        <v>0</v>
      </c>
      <c r="AF19" s="831">
        <f t="shared" si="14"/>
        <v>0</v>
      </c>
      <c r="AG19" s="832">
        <f t="shared" si="14"/>
        <v>0</v>
      </c>
      <c r="AH19" s="830">
        <f t="shared" si="14"/>
        <v>0</v>
      </c>
      <c r="AI19" s="820">
        <f t="shared" si="14"/>
        <v>214</v>
      </c>
      <c r="AJ19" s="820">
        <f t="shared" si="14"/>
        <v>0</v>
      </c>
      <c r="AK19" s="830">
        <f t="shared" si="14"/>
        <v>0</v>
      </c>
      <c r="AL19" s="884">
        <f>IF(ISNUMBER(NºAsuntos!G19/NºAsuntos!E19),NºAsuntos!G19/NºAsuntos!E19," - ")</f>
        <v>0.83680387409200974</v>
      </c>
      <c r="AM19" s="885">
        <f>IF(ISNUMBER(((NºAsuntos!I19/NºAsuntos!G19)*11)/factor_trimestre),((NºAsuntos!I19/NºAsuntos!G19)*11)/factor_trimestre," - ")</f>
        <v>4.9513888888888884</v>
      </c>
      <c r="AN19" s="885">
        <f>IF(ISNUMBER('Resol  Asuntos'!D19/NºAsuntos!G19),'Resol  Asuntos'!D19/NºAsuntos!G19," - ")</f>
        <v>0.12384259259259259</v>
      </c>
      <c r="AO19" s="886">
        <f>IF(ISNUMBER((NºAsuntos!C19+NºAsuntos!E19)/NºAsuntos!G19),(NºAsuntos!C19+NºAsuntos!E19)/NºAsuntos!G19," - ")</f>
        <v>2.4918981481481484</v>
      </c>
      <c r="AP19" s="887" t="str">
        <f t="shared" si="2"/>
        <v xml:space="preserve"> - </v>
      </c>
      <c r="AQ19" s="888">
        <f>IF(OR(ISNUMBER(FIND("01",Criterios!A8,1)),ISNUMBER(FIND("02",Criterios!A8,1)),ISNUMBER(FIND("03",Criterios!A8,1)),ISNUMBER(FIND("04",Criterios!A8,1))),(I19-W19+K19)/(F19-K19),(H19-W19+K19)/(F19-K19))</f>
        <v>-0.98255813953488369</v>
      </c>
      <c r="AR19" s="889">
        <f>IF(ISNUMBER((Datos!P19-Datos!Q19)/(Datos!R19-Datos!P19+Datos!Q19)),(Datos!P19-Datos!Q19)/(Datos!R19-Datos!P19+Datos!Q19)," - ")</f>
        <v>2.5143361270401413E-2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558.87506057555777</v>
      </c>
      <c r="G21" s="253">
        <f>IF(ISNUMBER(STDEV(G8:G18)),STDEV(G8:G18),"-")</f>
        <v>398.67618439028939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506.88440496823335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67.298340742299629</v>
      </c>
      <c r="AJ21" s="252">
        <f t="shared" si="18"/>
        <v>0</v>
      </c>
      <c r="AK21" s="254">
        <f t="shared" si="18"/>
        <v>0</v>
      </c>
      <c r="AL21" s="249">
        <f t="shared" si="18"/>
        <v>0.23584642333847866</v>
      </c>
      <c r="AM21" s="250">
        <f t="shared" si="18"/>
        <v>2.7596648708440279</v>
      </c>
      <c r="AN21" s="250">
        <f t="shared" si="18"/>
        <v>8.6938004037500932E-2</v>
      </c>
      <c r="AO21" s="251">
        <f t="shared" si="18"/>
        <v>1.035898594167532</v>
      </c>
      <c r="AP21" s="291" t="str">
        <f t="shared" si="18"/>
        <v>-</v>
      </c>
      <c r="AQ21" s="292">
        <f t="shared" si="18"/>
        <v>0.420551758110699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EtFkVdhzNLIVysNfunFAkr9u5G5NCSobqjZweMQP2KS9fmhoBtlm8c3asHY0D6LhYP/SLwNa/PW0Hk8nqOKFQ==" saltValue="UVxUDVLOKiHY02WLtW2lb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UBEDA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-0.13513513513513514</v>
      </c>
      <c r="E10" s="348">
        <f>IF(ISNUMBER((Datos!J10-Datos!T10)/Datos!T10),(Datos!J10-Datos!T10)/Datos!T10," - ")</f>
        <v>-0.16</v>
      </c>
      <c r="F10" s="348">
        <f>IF(ISNUMBER((Datos!K10-Datos!U10)/Datos!U10),(Datos!K10-Datos!U10)/Datos!U10," - ")</f>
        <v>-0.5357142857142857</v>
      </c>
      <c r="G10" s="349">
        <f>IF(ISNUMBER((Datos!L10-Datos!V10)/Datos!V10),(Datos!L10-Datos!V10)/Datos!V10," - ")</f>
        <v>0.17647058823529413</v>
      </c>
      <c r="H10" s="230">
        <f>IF(ISNUMBER((Datos!M10-Datos!W10)/Datos!W10),(Datos!M10-Datos!W10)/Datos!W10," - ")</f>
        <v>-0.7</v>
      </c>
      <c r="I10" s="350">
        <f>IF(ISNUMBER((Tasas!C10-Datos!BE10)/Datos!BE10),(Tasas!C10-Datos!BE10)/Datos!BE10," - ")</f>
        <v>1.5339366515837107</v>
      </c>
      <c r="J10" s="349">
        <f>IF(ISNUMBER((Tasas!D10-Datos!BF10)/Datos!BF10),(Tasas!D10-Datos!BF10)/Datos!BF10," - ")</f>
        <v>-0.35384615384615381</v>
      </c>
      <c r="K10" s="351">
        <f>IF(ISNUMBER((Tasas!E10-Datos!BG10)/Datos!BG10),(Tasas!E10-Datos!BG10)/Datos!BG10," - ")</f>
        <v>0.84119106699751833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-3.8216560509554139E-2</v>
      </c>
      <c r="I12" s="350">
        <f>IF(ISNUMBER((Tasas!C12-Datos!BE12)/Datos!BE12),(Tasas!C12-Datos!BE12)/Datos!BE12," - ")</f>
        <v>0.66669260296711264</v>
      </c>
      <c r="J12" s="349">
        <f>IF(ISNUMBER((Tasas!D12-Datos!BF12)/Datos!BF12),(Tasas!D12-Datos!BF12)/Datos!BF12," - ")</f>
        <v>-0.42859256910311294</v>
      </c>
      <c r="K12" s="351">
        <f>IF(ISNUMBER((Tasas!E12-Datos!BG12)/Datos!BG12),(Tasas!E12-Datos!BG12)/Datos!BG12," - ")</f>
        <v>0.40034811251894964</v>
      </c>
      <c r="M12" t="e">
        <f>IF(Monitorios="SI",Datos!CE12,0)</f>
        <v>#REF!</v>
      </c>
      <c r="N12" t="e">
        <f>IF(Monitorios="SI",Datos!CF12,0)</f>
        <v>#REF!</v>
      </c>
      <c r="O12" t="e">
        <f>IF(Monitorios="SI",Datos!CG12,0)</f>
        <v>#REF!</v>
      </c>
      <c r="P12" t="e">
        <f>IF(Monitorios="SI",Datos!CH12,0)</f>
        <v>#REF!</v>
      </c>
      <c r="Q12">
        <f>IF(J_V="SI",0,Datos!AG12)</f>
        <v>33</v>
      </c>
      <c r="R12">
        <f>IF(J_V="SI",0,Datos!AH12)</f>
        <v>74</v>
      </c>
      <c r="S12">
        <f>IF(J_V="SI",0,Datos!AI12)</f>
        <v>80</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-7.7844311377245512E-2</v>
      </c>
      <c r="I13" s="357">
        <f>IF(ISNUMBER((Tasas!C13-Datos!BE13)/Datos!BE13),(Tasas!C13-Datos!BE13)/Datos!BE13," - ")</f>
        <v>0.6857353823662331</v>
      </c>
      <c r="J13" s="355">
        <f>IF(ISNUMBER((Tasas!D13-Datos!BF13)/Datos!BF13),(Tasas!D13-Datos!BF13)/Datos!BF13," - ")</f>
        <v>-0.42690508940852817</v>
      </c>
      <c r="K13" s="358">
        <f>IF(ISNUMBER((Tasas!E13-Datos!BG13)/Datos!BG13),(Tasas!E13-Datos!BG13)/Datos!BG13," - ")</f>
        <v>0.41059517340531226</v>
      </c>
      <c r="M13" t="e">
        <f>IF(Monitorios="SI",Datos!CE13,0)</f>
        <v>#REF!</v>
      </c>
      <c r="N13" t="e">
        <f>IF(Monitorios="SI",Datos!CF13,0)</f>
        <v>#REF!</v>
      </c>
      <c r="O13" t="e">
        <f>IF(Monitorios="SI",Datos!CG13,0)</f>
        <v>#REF!</v>
      </c>
      <c r="P13" t="e">
        <f>IF(Monitorios="SI",Datos!CH13,0)</f>
        <v>#REF!</v>
      </c>
      <c r="Q13">
        <f>IF(J_V="SI",0,Datos!AG13)</f>
        <v>33</v>
      </c>
      <c r="R13">
        <f>IF(J_V="SI",0,Datos!AH13)</f>
        <v>74</v>
      </c>
      <c r="S13">
        <f>IF(J_V="SI",0,Datos!AI13)</f>
        <v>80</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0.20495867768595041</v>
      </c>
      <c r="E16" s="348">
        <f>IF(ISNUMBER(
   IF(D_I="SI",(Datos!J16-Datos!T16)/Datos!T16,(Datos!J16+Datos!AD16-(Datos!T16+Datos!AL16))/(Datos!T16+Datos!AL16))
     ),IF(D_I="SI",(Datos!J16-Datos!T16)/Datos!T16,(Datos!J16+Datos!AD16-(Datos!T16+Datos!AL16))/(Datos!T16+Datos!AL16))," - ")</f>
        <v>-3.4762456546929318E-2</v>
      </c>
      <c r="F16" s="348">
        <f>IF(ISNUMBER(
   IF(D_I="SI",(Datos!K16-Datos!U16)/Datos!U16,(Datos!K16+Datos!AE16-(Datos!U16+Datos!AM16))/(Datos!U16+Datos!AM16))
     ),IF(D_I="SI",(Datos!K16-Datos!U16)/Datos!U16,(Datos!K16+Datos!AE16-(Datos!U16+Datos!AM16))/(Datos!U16+Datos!AM16))," - ")</f>
        <v>-1.5037593984962405E-2</v>
      </c>
      <c r="G16" s="349">
        <f>IF(ISNUMBER(
   IF(D_I="SI",(Datos!L16-Datos!V16)/Datos!V16,(Datos!L16+Datos!AF16-(Datos!V16+Datos!AN16))/(Datos!V16+Datos!AN16))
     ),IF(D_I="SI",(Datos!L16-Datos!V16)/Datos!V16,(Datos!L16+Datos!AF16-(Datos!V16+Datos!AN16))/(Datos!V16+Datos!AN16))," - ")</f>
        <v>0.68073394495412842</v>
      </c>
      <c r="H16" s="230">
        <f>IF(ISNUMBER((Datos!M16-Datos!W16)/Datos!W16),(Datos!M16-Datos!W16)/Datos!W16," - ")</f>
        <v>-0.54545454545454541</v>
      </c>
      <c r="I16" s="350">
        <f>IF(ISNUMBER((Tasas!C16-Datos!BE16)/Datos!BE16),(Tasas!C16-Datos!BE16)/Datos!BE16," - ")</f>
        <v>0.70639400518243578</v>
      </c>
      <c r="J16" s="349">
        <f>IF(ISNUMBER((Tasas!D16-Datos!BF16)/Datos!BF16),(Tasas!D16-Datos!BF16)/Datos!BF16," - ")</f>
        <v>-0.53851492019430947</v>
      </c>
      <c r="K16" s="351">
        <f>IF(ISNUMBER((Tasas!E16-Datos!BG16)/Datos!BG16),(Tasas!E16-Datos!BG16)/Datos!BG16," - ")</f>
        <v>8.0277471556045463E-2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0.19178082191780821</v>
      </c>
      <c r="F17" s="348">
        <f>IF(ISNUMBER(
   IF(D_I="SI",(Datos!K17-Datos!U17)/Datos!U17,(Datos!K17+Datos!AE17-(Datos!U17+Datos!AM17))/(Datos!U17+Datos!AM17))
     ),IF(D_I="SI",(Datos!K17-Datos!U17)/Datos!U17,(Datos!K17+Datos!AE17-(Datos!U17+Datos!AM17))/(Datos!U17+Datos!AM17))," - ")</f>
        <v>0.10526315789473684</v>
      </c>
      <c r="G17" s="349">
        <f>IF(ISNUMBER(
   IF(D_I="SI",(Datos!L17-Datos!V17)/Datos!V17,(Datos!L17+Datos!AF17-(Datos!V17+Datos!AN17))/(Datos!V17+Datos!AN17))
     ),IF(D_I="SI",(Datos!L17-Datos!V17)/Datos!V17,(Datos!L17+Datos!AF17-(Datos!V17+Datos!AN17))/(Datos!V17+Datos!AN17))," - ")</f>
        <v>0.65573770491803274</v>
      </c>
      <c r="H17" s="230">
        <f>IF(ISNUMBER((Datos!M17-Datos!W17)/Datos!W17),(Datos!M17-Datos!W17)/Datos!W17," - ")</f>
        <v>-0.6428571428571429</v>
      </c>
      <c r="I17" s="350">
        <f>IF(ISNUMBER((Tasas!C17-Datos!BE17)/Datos!BE17),(Tasas!C17-Datos!BE17)/Datos!BE17," - ")</f>
        <v>0.49804839968774378</v>
      </c>
      <c r="J17" s="349">
        <f>IF(ISNUMBER((Tasas!D17-Datos!BF17)/Datos!BF17),(Tasas!D17-Datos!BF17)/Datos!BF17," - ")</f>
        <v>-0.6768707482993197</v>
      </c>
      <c r="K17" s="351">
        <f>IF(ISNUMBER((Tasas!E17-Datos!BG17)/Datos!BG17),(Tasas!E17-Datos!BG17)/Datos!BG17," - ")</f>
        <v>0.2085505735140771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0.23318385650224216</v>
      </c>
      <c r="E18" s="354">
        <f>IF(ISNUMBER(
   IF(D_I="SI",(Datos!J18-Datos!T18)/Datos!T18,(Datos!J18+Datos!AD18-(Datos!T18+Datos!AL18))/(Datos!T18+Datos!AL18))
     ),IF(D_I="SI",(Datos!J18-Datos!T18)/Datos!T18,(Datos!J18+Datos!AD18-(Datos!T18+Datos!AL18))/(Datos!T18+Datos!AL18))," - ")</f>
        <v>-1.7094017094017096E-2</v>
      </c>
      <c r="F18" s="354">
        <f>IF(ISNUMBER(
   IF(D_I="SI",(Datos!K18-Datos!U18)/Datos!U18,(Datos!K18+Datos!AE18-(Datos!U18+Datos!AM18))/(Datos!U18+Datos!AM18))
     ),IF(D_I="SI",(Datos!K18-Datos!U18)/Datos!U18,(Datos!K18+Datos!AE18-(Datos!U18+Datos!AM18))/(Datos!U18+Datos!AM18))," - ")</f>
        <v>-5.9582919563058593E-3</v>
      </c>
      <c r="G18" s="355">
        <f>IF(ISNUMBER(
   IF(D_I="SI",(Datos!L18-Datos!V18)/Datos!V18,(Datos!L18+Datos!AF18-(Datos!V18+Datos!AN18))/(Datos!V18+Datos!AN18))
     ),IF(D_I="SI",(Datos!L18-Datos!V18)/Datos!V18,(Datos!L18+Datos!AF18-(Datos!V18+Datos!AN18))/(Datos!V18+Datos!AN18))," - ")</f>
        <v>0.67821782178217827</v>
      </c>
      <c r="H18" s="356">
        <f>IF(ISNUMBER((Datos!M18-Datos!W18)/Datos!W18),(Datos!M18-Datos!W18)/Datos!W18," - ")</f>
        <v>-0.55555555555555558</v>
      </c>
      <c r="I18" s="357">
        <f>IF(ISNUMBER((Tasas!C18-Datos!BE18)/Datos!BE18),(Tasas!C18-Datos!BE18)/Datos!BE18," - ")</f>
        <v>0.6882770694651883</v>
      </c>
      <c r="J18" s="355">
        <f>IF(ISNUMBER((Tasas!D18-Datos!BF18)/Datos!BF18),(Tasas!D18-Datos!BF18)/Datos!BF18," - ")</f>
        <v>-0.5528915528915529</v>
      </c>
      <c r="K18" s="358">
        <f>IF(ISNUMBER((Tasas!E18-Datos!BG18)/Datos!BG18),(Tasas!E18-Datos!BG18)/Datos!BG18," - ")</f>
        <v>9.3744261968561005E-2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0.22861842105263158</v>
      </c>
      <c r="E19" s="363">
        <f>IF(ISNUMBER(
   IF(J_V="SI",(Datos!J19-Datos!T19)/Datos!T19,(Datos!J19+Datos!Z19-(Datos!T19+Datos!AH19))/(Datos!T19+Datos!AH19))
     ),IF(J_V="SI",(Datos!J19-Datos!T19)/Datos!T19,(Datos!J19+Datos!Z19-(Datos!T19+Datos!AH19))/(Datos!T19+Datos!AH19))," - ")</f>
        <v>0.25991458206223306</v>
      </c>
      <c r="F19" s="363">
        <f>IF(ISNUMBER(
   IF(J_V="SI",(Datos!K19-Datos!U19)/Datos!U19,(Datos!K19+Datos!AA19-(Datos!U19+Datos!AI19))/(Datos!U19+Datos!AI19))
     ),IF(J_V="SI",(Datos!K19-Datos!U19)/Datos!U19,(Datos!K19+Datos!AA19-(Datos!U19+Datos!AI19))/(Datos!U19+Datos!AI19))," - ")</f>
        <v>-1.3135351227869789E-2</v>
      </c>
      <c r="G19" s="364">
        <f>IF(ISNUMBER(
   IF(J_V="SI",(Datos!L19-Datos!V19)/Datos!V19,(Datos!L19+Datos!AB19-(Datos!V19+Datos!AJ19))/(Datos!V19+Datos!AJ19))
     ),IF(J_V="SI",(Datos!L19-Datos!V19)/Datos!V19,(Datos!L19+Datos!AB19-(Datos!V19+Datos!AJ19))/(Datos!V19+Datos!AJ19))," - ")</f>
        <v>0.6581395348837209</v>
      </c>
      <c r="H19" s="365">
        <f>IF(ISNUMBER((Datos!M19-Datos!W19)/Datos!W19),(Datos!M19-Datos!W19)/Datos!W19," - ")</f>
        <v>-0.29139072847682118</v>
      </c>
      <c r="I19" s="362">
        <f>IF(ISNUMBER((Tasas!C19-Datos!BE19)/Datos!BE19),(Tasas!C19-Datos!BE19)/Datos!BE19," - ")</f>
        <v>0.68020967915590014</v>
      </c>
      <c r="J19" s="363">
        <f>IF(ISNUMBER((Tasas!D19-Datos!BF19)/Datos!BF19),(Tasas!D19-Datos!BF19)/Datos!BF19," - ")</f>
        <v>-0.47110151309846432</v>
      </c>
      <c r="K19" s="364">
        <f>IF(ISNUMBER((Tasas!E19-Datos!BG19)/Datos!BG19),(Tasas!E19-Datos!BG19)/Datos!BG19," - ")</f>
        <v>0.25998084245088299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0.26040932811411455</v>
      </c>
      <c r="E21" s="278">
        <f t="shared" si="1"/>
        <v>0.14580781816376259</v>
      </c>
      <c r="F21" s="278">
        <f t="shared" si="1"/>
        <v>0.28715887428729703</v>
      </c>
      <c r="G21" s="279">
        <f t="shared" si="1"/>
        <v>0.24780121182456372</v>
      </c>
      <c r="H21" s="285">
        <f t="shared" si="1"/>
        <v>0.29145938262283433</v>
      </c>
      <c r="I21" s="277">
        <f t="shared" si="1"/>
        <v>0.36927935915467552</v>
      </c>
      <c r="J21" s="278">
        <f t="shared" si="1"/>
        <v>0.11600305275947818</v>
      </c>
      <c r="K21" s="279">
        <f t="shared" si="1"/>
        <v>0.28467174813841839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t0+yxYFg9QuTwwaB8qqUTUcwI73vccYhf2MCQQOVxLHayjuVenzhk1DVXFmfWgLaEg7q3yAQn0TECTto704ww==" saltValue="b3LpSwTEsWJENnIHmyQcU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21</v>
      </c>
      <c r="F10" s="226">
        <f>IF(ISNUMBER(Datos!K10),Datos!K10," - ")</f>
        <v>13</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33.846153846153847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27.654061624649859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21</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1000</v>
      </c>
      <c r="D16" s="225">
        <f>IF(ISNUMBER(IF(D_I="SI",Datos!I16,Datos!I16+Datos!AC16)),IF(D_I="SI",Datos!I16,Datos!I16+Datos!AC16)," - ")</f>
        <v>729</v>
      </c>
      <c r="E16" s="226">
        <f>IF(ISNUMBER(IF(D_I="SI",Datos!J16,Datos!J16+Datos!AD16)),IF(D_I="SI",Datos!J16,Datos!J16+Datos!AD16)," - ")</f>
        <v>833</v>
      </c>
      <c r="F16" s="226">
        <f>IF(ISNUMBER(IF(D_I="SI",Datos!K16,Datos!K16+Datos!AE16)),IF(D_I="SI",Datos!K16,Datos!K16+Datos!AE16)," - ")</f>
        <v>917</v>
      </c>
      <c r="G16" s="1034" t="str">
        <f>IF(Datos!E16&lt;&gt;"",Datos!E16,Datos!D16)</f>
        <v>04</v>
      </c>
      <c r="H16" s="227">
        <f>IF(ISNUMBER(IF(D_I="SI",Datos!L16,Datos!L16+Datos!AF16)),IF(D_I="SI",Datos!L16,Datos!L16+Datos!AF16)," - ")</f>
        <v>916</v>
      </c>
      <c r="I16" s="1044" t="str">
        <f>IF(ISNUMBER(Datos!AS16/Datos!BM16),Datos!AS16/Datos!BM16," - ")</f>
        <v xml:space="preserve"> - </v>
      </c>
      <c r="J16" s="1045">
        <f>IF(ISNUMBER(Datos!BY16/Datos!CN16),Datos!BY16/Datos!CN16," - ")</f>
        <v>0</v>
      </c>
      <c r="K16" s="230">
        <f t="shared" si="3"/>
        <v>-8.4000000000000005E-2</v>
      </c>
      <c r="L16" s="1025">
        <f>IF(ISNUMBER(NºAsuntos!I16/NºAsuntos!G16),(NºAsuntos!I16/NºAsuntos!G16)*11," - ")</f>
        <v>10.988004362050164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98</v>
      </c>
      <c r="D17" s="225">
        <f>IF(ISNUMBER(IF(D_I="SI",Datos!I17,Datos!I17+Datos!AC17)),IF(D_I="SI",Datos!I17,Datos!I17+Datos!AC17)," - ")</f>
        <v>96</v>
      </c>
      <c r="E17" s="226">
        <f>IF(ISNUMBER(IF(D_I="SI",Datos!J17,Datos!J17+Datos!AD17)),IF(D_I="SI",Datos!J17,Datos!J17+Datos!AD17)," - ")</f>
        <v>87</v>
      </c>
      <c r="F17" s="226">
        <f>IF(ISNUMBER(IF(D_I="SI",Datos!K17,Datos!K17+Datos!AE17)),IF(D_I="SI",Datos!K17,Datos!K17+Datos!AE17)," - ")</f>
        <v>84</v>
      </c>
      <c r="G17" s="1034" t="str">
        <f>IF(Datos!E17&lt;&gt;"",Datos!E17,Datos!D17)</f>
        <v>37</v>
      </c>
      <c r="H17" s="227">
        <f>IF(ISNUMBER(IF(D_I="SI",Datos!L17,Datos!L17+Datos!AF17)),IF(D_I="SI",Datos!L17,Datos!L17+Datos!AF17)," - ")</f>
        <v>101</v>
      </c>
      <c r="I17" s="1044" t="str">
        <f>IF(ISNUMBER(Datos!AS17/Datos!BM17),Datos!AS17/Datos!BM17," - ")</f>
        <v xml:space="preserve"> - </v>
      </c>
      <c r="J17" s="1045" t="str">
        <f>IF(ISNUMBER((Datos!BY17+Datos!BZ17)/Datos!CN17),(Datos!BY17+Datos!BZ17)/Datos!CN17," - ")</f>
        <v xml:space="preserve"> - </v>
      </c>
      <c r="K17" s="230">
        <f t="shared" si="3"/>
        <v>3.0612244897959183E-2</v>
      </c>
      <c r="L17" s="1025">
        <f>IF(ISNUMBER(NºAsuntos!I17/NºAsuntos!G17),(NºAsuntos!I17/NºAsuntos!G17)*11," - ")</f>
        <v>13.226190476190476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1098</v>
      </c>
      <c r="D18" s="1049">
        <f>SUBTOTAL(9,D15:D17)</f>
        <v>825</v>
      </c>
      <c r="E18" s="1050">
        <f>SUBTOTAL(9,E15:E17)</f>
        <v>920</v>
      </c>
      <c r="F18" s="1050">
        <f>SUBTOTAL(9,F15:F17)</f>
        <v>1001</v>
      </c>
      <c r="G18" s="1052" t="str">
        <f ca="1">INDIRECT(CONCATENATE("G",ROW()-1))</f>
        <v>37</v>
      </c>
      <c r="H18" s="1053">
        <f ca="1">SUMIF(G$14:G17,G18,H$14:H17)</f>
        <v>101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1130</v>
      </c>
      <c r="D19" s="1071">
        <f>SUBTOTAL(9,D9:D18)</f>
        <v>857</v>
      </c>
      <c r="E19" s="1072">
        <f>SUBTOTAL(9,E9:E18)</f>
        <v>941</v>
      </c>
      <c r="F19" s="1072">
        <f>SUBTOTAL(9,F9:F18)</f>
        <v>1014</v>
      </c>
      <c r="G19" s="1073"/>
      <c r="H19" s="1074">
        <f ca="1">SUMIF(B9:B18,"TOTAL",H9:H18)</f>
        <v>101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ilwB9lXkMY1uvn9rqGcxQwZvzeMlXoWKDI2y8Ohj0U7MHiTM7+1nzZiQRjy7mAgcR8XV0mP0kyexX2IjDCGog==" saltValue="qBR+INeisB5DL/SICp5gu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1PVWFVHexRxA4bRhmxTYiMl4P5C/jgAv1zIwLe7n22edvRvVvU+sCxyxBQyJ08rqE+sgklM4jAkE8hIzIiYDg==" saltValue="ed4T72ib5AXcUU9zjpcl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21</v>
      </c>
      <c r="K10" s="181">
        <v>13</v>
      </c>
      <c r="L10" s="181">
        <v>40</v>
      </c>
      <c r="M10" s="181">
        <v>3</v>
      </c>
      <c r="N10" s="181">
        <v>4</v>
      </c>
      <c r="O10" s="181">
        <v>8</v>
      </c>
      <c r="P10" s="181">
        <v>2</v>
      </c>
      <c r="Q10" s="181">
        <v>1</v>
      </c>
      <c r="R10" s="181">
        <v>4</v>
      </c>
      <c r="S10" s="181">
        <v>37</v>
      </c>
      <c r="T10" s="181">
        <v>25</v>
      </c>
      <c r="U10" s="181">
        <v>28</v>
      </c>
      <c r="V10" s="181">
        <v>34</v>
      </c>
      <c r="W10" s="181">
        <v>10</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37</v>
      </c>
      <c r="AZ10" s="129">
        <f t="shared" si="0"/>
        <v>25</v>
      </c>
      <c r="BA10" s="129">
        <f t="shared" si="0"/>
        <v>28</v>
      </c>
      <c r="BB10" s="129">
        <f t="shared" si="0"/>
        <v>34</v>
      </c>
      <c r="BC10" s="125">
        <f t="shared" si="0"/>
        <v>10</v>
      </c>
      <c r="BD10" s="126">
        <f>IF(ISNUMBER(BA10/AZ10),BA10/AZ10," - ")</f>
        <v>1.1200000000000001</v>
      </c>
      <c r="BE10" s="127">
        <f>IF(ISNUMBER(BB10/BA10),BB10/BA10, " - ")</f>
        <v>1.2142857142857142</v>
      </c>
      <c r="BF10" s="127">
        <f>IF(ISNUMBER(BC10/BA10),BC10/BA10, " - ")</f>
        <v>0.35714285714285715</v>
      </c>
      <c r="BG10" s="196">
        <f>IF(ISNUMBER((AY10+AZ10)/BA10),(AY10+AZ10)/BA10," - ")</f>
        <v>2.2142857142857144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1328</v>
      </c>
      <c r="J12" s="183">
        <v>1045</v>
      </c>
      <c r="K12" s="183">
        <v>628</v>
      </c>
      <c r="L12" s="183">
        <v>1746</v>
      </c>
      <c r="M12" s="183">
        <v>151</v>
      </c>
      <c r="N12" s="183">
        <v>277</v>
      </c>
      <c r="O12" s="181">
        <v>321</v>
      </c>
      <c r="P12" s="183">
        <v>119</v>
      </c>
      <c r="Q12" s="183">
        <v>75</v>
      </c>
      <c r="R12" s="183">
        <v>2183</v>
      </c>
      <c r="S12" s="183">
        <v>1085</v>
      </c>
      <c r="T12" s="183">
        <v>604</v>
      </c>
      <c r="U12" s="183">
        <v>636</v>
      </c>
      <c r="V12" s="183">
        <v>1053</v>
      </c>
      <c r="W12" s="183">
        <v>157</v>
      </c>
      <c r="X12" s="189">
        <v>265</v>
      </c>
      <c r="Y12" s="191">
        <v>56</v>
      </c>
      <c r="Z12" s="181">
        <v>79</v>
      </c>
      <c r="AA12" s="181">
        <v>86</v>
      </c>
      <c r="AB12" s="181">
        <v>49</v>
      </c>
      <c r="AC12" s="183">
        <v>0</v>
      </c>
      <c r="AD12" s="183">
        <v>0</v>
      </c>
      <c r="AE12" s="183">
        <v>0</v>
      </c>
      <c r="AF12" s="189">
        <v>0</v>
      </c>
      <c r="AG12" s="202">
        <v>33</v>
      </c>
      <c r="AH12" s="183">
        <v>74</v>
      </c>
      <c r="AI12" s="183">
        <v>80</v>
      </c>
      <c r="AJ12" s="203">
        <v>27</v>
      </c>
      <c r="AK12" s="182">
        <v>0</v>
      </c>
      <c r="AL12" s="183">
        <v>0</v>
      </c>
      <c r="AM12" s="183">
        <v>0</v>
      </c>
      <c r="AN12" s="189">
        <v>0</v>
      </c>
      <c r="AO12" s="259">
        <v>3</v>
      </c>
      <c r="AP12" s="155">
        <v>3</v>
      </c>
      <c r="AQ12" s="155">
        <v>3</v>
      </c>
      <c r="AR12" s="154">
        <v>3</v>
      </c>
      <c r="AS12" s="340" t="s">
        <v>801</v>
      </c>
      <c r="AT12" s="203"/>
      <c r="AU12" s="202"/>
      <c r="AV12" s="203"/>
      <c r="AW12" s="202"/>
      <c r="AX12" s="203"/>
      <c r="AY12" s="126">
        <f t="shared" si="1"/>
        <v>1118</v>
      </c>
      <c r="AZ12" s="127">
        <f t="shared" si="1"/>
        <v>678</v>
      </c>
      <c r="BA12" s="127">
        <f t="shared" si="1"/>
        <v>716</v>
      </c>
      <c r="BB12" s="127">
        <f t="shared" si="1"/>
        <v>1080</v>
      </c>
      <c r="BC12" s="125">
        <f>IF(ISNUMBER(X12),X12," - ")</f>
        <v>265</v>
      </c>
      <c r="BD12" s="126">
        <f t="shared" si="2"/>
        <v>1.056047197640118</v>
      </c>
      <c r="BE12" s="127">
        <f t="shared" si="3"/>
        <v>1.5083798882681565</v>
      </c>
      <c r="BF12" s="127">
        <f t="shared" si="4"/>
        <v>0.37011173184357543</v>
      </c>
      <c r="BG12" s="196">
        <f t="shared" si="5"/>
        <v>2.5083798882681565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1360</v>
      </c>
      <c r="J13" s="184">
        <f t="shared" si="6"/>
        <v>1066</v>
      </c>
      <c r="K13" s="184">
        <f t="shared" si="6"/>
        <v>641</v>
      </c>
      <c r="L13" s="184">
        <f t="shared" si="6"/>
        <v>1786</v>
      </c>
      <c r="M13" s="184">
        <f t="shared" si="6"/>
        <v>154</v>
      </c>
      <c r="N13" s="184">
        <f t="shared" si="6"/>
        <v>281</v>
      </c>
      <c r="O13" s="184">
        <f t="shared" si="6"/>
        <v>329</v>
      </c>
      <c r="P13" s="184">
        <f t="shared" si="6"/>
        <v>121</v>
      </c>
      <c r="Q13" s="184">
        <f t="shared" si="6"/>
        <v>76</v>
      </c>
      <c r="R13" s="184">
        <f t="shared" si="6"/>
        <v>2187</v>
      </c>
      <c r="S13" s="184">
        <f t="shared" si="6"/>
        <v>1122</v>
      </c>
      <c r="T13" s="184">
        <f t="shared" si="6"/>
        <v>629</v>
      </c>
      <c r="U13" s="184">
        <f t="shared" si="6"/>
        <v>664</v>
      </c>
      <c r="V13" s="184">
        <f t="shared" si="6"/>
        <v>1087</v>
      </c>
      <c r="W13" s="184">
        <f t="shared" si="6"/>
        <v>167</v>
      </c>
      <c r="X13" s="184">
        <f t="shared" si="6"/>
        <v>274</v>
      </c>
      <c r="Y13" s="184">
        <f t="shared" si="6"/>
        <v>56</v>
      </c>
      <c r="Z13" s="184">
        <f t="shared" si="6"/>
        <v>79</v>
      </c>
      <c r="AA13" s="184">
        <f t="shared" si="6"/>
        <v>86</v>
      </c>
      <c r="AB13" s="184">
        <f t="shared" si="6"/>
        <v>49</v>
      </c>
      <c r="AC13" s="184">
        <f t="shared" si="6"/>
        <v>0</v>
      </c>
      <c r="AD13" s="184">
        <f t="shared" si="6"/>
        <v>0</v>
      </c>
      <c r="AE13" s="184">
        <f t="shared" si="6"/>
        <v>0</v>
      </c>
      <c r="AF13" s="184">
        <f>SUBTOTAL(9,AF9:AF12)</f>
        <v>0</v>
      </c>
      <c r="AG13" s="184">
        <f t="shared" ref="AG13:AT13" si="7">SUBTOTAL(9,AG8:AG12)</f>
        <v>33</v>
      </c>
      <c r="AH13" s="184">
        <f t="shared" si="7"/>
        <v>74</v>
      </c>
      <c r="AI13" s="184">
        <f t="shared" si="7"/>
        <v>80</v>
      </c>
      <c r="AJ13" s="184">
        <f t="shared" si="7"/>
        <v>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1155</v>
      </c>
      <c r="AZ13" s="184">
        <f>SUBTOTAL(9,AZ8:AZ12)</f>
        <v>703</v>
      </c>
      <c r="BA13" s="184">
        <f>SUBTOTAL(9,BA8:BA12)</f>
        <v>744</v>
      </c>
      <c r="BB13" s="184">
        <f>SUBTOTAL(9,BB8:BB12)</f>
        <v>1114</v>
      </c>
      <c r="BC13" s="184">
        <f>SUBTOTAL(9,BC8:BC12)</f>
        <v>275</v>
      </c>
      <c r="BD13" s="205">
        <f>IF(ISNUMBER(BA13/AZ13),BA13/AZ13," - ")</f>
        <v>1.0583214793741109</v>
      </c>
      <c r="BE13" s="206">
        <f>IF(ISNUMBER(BB13/BA13),BB13/BA13, " - ")</f>
        <v>1.4973118279569892</v>
      </c>
      <c r="BF13" s="206">
        <f>IF(ISNUMBER(BC13/BA13),BC13/BA13, " - ")</f>
        <v>0.3696236559139785</v>
      </c>
      <c r="BG13" s="207">
        <f>IF(ISNUMBER((AY13+AZ13)/BA13),(AY13+AZ13)/BA13," - ")</f>
        <v>2.497311827956989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729</v>
      </c>
      <c r="J16" s="183">
        <v>833</v>
      </c>
      <c r="K16" s="183">
        <v>917</v>
      </c>
      <c r="L16" s="183">
        <v>916</v>
      </c>
      <c r="M16" s="183">
        <v>55</v>
      </c>
      <c r="N16" s="183">
        <v>686</v>
      </c>
      <c r="O16" s="181">
        <v>14</v>
      </c>
      <c r="P16" s="183">
        <v>25</v>
      </c>
      <c r="Q16" s="183">
        <v>13</v>
      </c>
      <c r="R16" s="183">
        <v>134</v>
      </c>
      <c r="S16" s="183">
        <v>605</v>
      </c>
      <c r="T16" s="183">
        <v>863</v>
      </c>
      <c r="U16" s="183">
        <v>931</v>
      </c>
      <c r="V16" s="183">
        <v>545</v>
      </c>
      <c r="W16" s="183">
        <v>121</v>
      </c>
      <c r="X16" s="189">
        <v>605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605</v>
      </c>
      <c r="AZ16" s="127">
        <f t="shared" si="9"/>
        <v>863</v>
      </c>
      <c r="BA16" s="127">
        <f t="shared" si="9"/>
        <v>931</v>
      </c>
      <c r="BB16" s="127">
        <f t="shared" si="9"/>
        <v>545</v>
      </c>
      <c r="BC16" s="125">
        <f>IF(ISNUMBER(W16),W16," - ")</f>
        <v>121</v>
      </c>
      <c r="BD16" s="126">
        <f t="shared" ref="BD16" si="11">IF(ISNUMBER(BA16/AZ16),BA16/AZ16," - ")</f>
        <v>1.0787949015063731</v>
      </c>
      <c r="BE16" s="127">
        <f t="shared" ref="BE16" si="12">IF(ISNUMBER(BB16/BA16),BB16/BA16, " - ")</f>
        <v>0.5853920515574651</v>
      </c>
      <c r="BF16" s="127">
        <f t="shared" ref="BF16" si="13">IF(ISNUMBER(BC16/BA16),BC16/BA16, " - ")</f>
        <v>0.12996777658431793</v>
      </c>
      <c r="BG16" s="196">
        <f t="shared" si="10"/>
        <v>1.5767991407089152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96</v>
      </c>
      <c r="J17" s="183">
        <v>87</v>
      </c>
      <c r="K17" s="183">
        <v>84</v>
      </c>
      <c r="L17" s="183">
        <v>101</v>
      </c>
      <c r="M17" s="183">
        <v>5</v>
      </c>
      <c r="N17" s="183">
        <v>43</v>
      </c>
      <c r="O17" s="183">
        <v>0</v>
      </c>
      <c r="P17" s="183">
        <v>0</v>
      </c>
      <c r="Q17" s="183">
        <v>0</v>
      </c>
      <c r="R17" s="183">
        <v>3</v>
      </c>
      <c r="S17" s="183">
        <v>64</v>
      </c>
      <c r="T17" s="183">
        <v>73</v>
      </c>
      <c r="U17" s="183">
        <v>76</v>
      </c>
      <c r="V17" s="183">
        <v>61</v>
      </c>
      <c r="W17" s="183">
        <v>14</v>
      </c>
      <c r="X17" s="189">
        <v>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64</v>
      </c>
      <c r="AZ17" s="129">
        <f t="shared" si="14"/>
        <v>73</v>
      </c>
      <c r="BA17" s="129">
        <f t="shared" si="14"/>
        <v>76</v>
      </c>
      <c r="BB17" s="129">
        <f t="shared" si="14"/>
        <v>61</v>
      </c>
      <c r="BC17" s="125">
        <f>IF(ISNUMBER(W17),W17," - ")</f>
        <v>14</v>
      </c>
      <c r="BD17" s="126">
        <f>IF(ISNUMBER(BA17/AZ17),BA17/AZ17," - ")</f>
        <v>1.0410958904109588</v>
      </c>
      <c r="BE17" s="127">
        <f>IF(ISNUMBER(BB17/BA17),BB17/BA17, " - ")</f>
        <v>0.80263157894736847</v>
      </c>
      <c r="BF17" s="127">
        <f>IF(ISNUMBER(BC17/BA17),BC17/BA17, " - ")</f>
        <v>0.18421052631578946</v>
      </c>
      <c r="BG17" s="196">
        <f>IF(ISNUMBER((AY17+AZ17)/BA17),(AY17+AZ17)/BA17," - ")</f>
        <v>1.8026315789473684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825</v>
      </c>
      <c r="J18" s="184">
        <f t="shared" si="15"/>
        <v>920</v>
      </c>
      <c r="K18" s="184">
        <f t="shared" si="15"/>
        <v>1001</v>
      </c>
      <c r="L18" s="184">
        <f t="shared" si="15"/>
        <v>1017</v>
      </c>
      <c r="M18" s="184">
        <f t="shared" si="15"/>
        <v>60</v>
      </c>
      <c r="N18" s="184">
        <f t="shared" si="15"/>
        <v>729</v>
      </c>
      <c r="O18" s="184">
        <f t="shared" si="15"/>
        <v>14</v>
      </c>
      <c r="P18" s="184">
        <f t="shared" si="15"/>
        <v>25</v>
      </c>
      <c r="Q18" s="184">
        <f t="shared" si="15"/>
        <v>13</v>
      </c>
      <c r="R18" s="184">
        <f t="shared" si="15"/>
        <v>137</v>
      </c>
      <c r="S18" s="184">
        <f t="shared" si="15"/>
        <v>669</v>
      </c>
      <c r="T18" s="184">
        <f t="shared" si="15"/>
        <v>936</v>
      </c>
      <c r="U18" s="184">
        <f t="shared" si="15"/>
        <v>1007</v>
      </c>
      <c r="V18" s="184">
        <f t="shared" si="15"/>
        <v>606</v>
      </c>
      <c r="W18" s="184">
        <f t="shared" si="15"/>
        <v>135</v>
      </c>
      <c r="X18" s="184">
        <f t="shared" si="15"/>
        <v>645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669</v>
      </c>
      <c r="AZ18" s="184">
        <f>SUBTOTAL(9,AZ14:AZ17)</f>
        <v>936</v>
      </c>
      <c r="BA18" s="184">
        <f>SUBTOTAL(9,BA14:BA17)</f>
        <v>1007</v>
      </c>
      <c r="BB18" s="184">
        <f>SUBTOTAL(9,BB14:BB17)</f>
        <v>606</v>
      </c>
      <c r="BC18" s="184">
        <f>SUBTOTAL(9,BC14:BC17)</f>
        <v>135</v>
      </c>
      <c r="BD18" s="205">
        <f>IF(ISNUMBER(BA18/AZ18),BA18/AZ18," - ")</f>
        <v>1.0758547008547008</v>
      </c>
      <c r="BE18" s="206">
        <f>IF(ISNUMBER(BB18/BA18),BB18/BA18, " - ")</f>
        <v>0.60178748758689171</v>
      </c>
      <c r="BF18" s="206">
        <f>IF(ISNUMBER(BC18/BA18),BC18/BA18, " - ")</f>
        <v>0.13406156901688182</v>
      </c>
      <c r="BG18" s="207">
        <f>IF(ISNUMBER((AY18+AZ18)/BA18),(AY18+AZ18)/BA18," - ")</f>
        <v>1.5938430983118173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2185</v>
      </c>
      <c r="J19" s="134">
        <f t="shared" si="18"/>
        <v>1986</v>
      </c>
      <c r="K19" s="134">
        <f t="shared" si="18"/>
        <v>1642</v>
      </c>
      <c r="L19" s="134">
        <f t="shared" si="18"/>
        <v>2803</v>
      </c>
      <c r="M19" s="134">
        <f t="shared" si="18"/>
        <v>214</v>
      </c>
      <c r="N19" s="134">
        <f t="shared" si="18"/>
        <v>1010</v>
      </c>
      <c r="O19" s="134">
        <f t="shared" si="18"/>
        <v>343</v>
      </c>
      <c r="P19" s="134">
        <f t="shared" si="18"/>
        <v>146</v>
      </c>
      <c r="Q19" s="134">
        <f t="shared" si="18"/>
        <v>89</v>
      </c>
      <c r="R19" s="134">
        <f t="shared" si="18"/>
        <v>2324</v>
      </c>
      <c r="S19" s="134">
        <f t="shared" si="18"/>
        <v>1791</v>
      </c>
      <c r="T19" s="134">
        <f t="shared" si="18"/>
        <v>1565</v>
      </c>
      <c r="U19" s="134">
        <f t="shared" si="18"/>
        <v>1671</v>
      </c>
      <c r="V19" s="134">
        <f t="shared" si="18"/>
        <v>1693</v>
      </c>
      <c r="W19" s="134">
        <f t="shared" si="18"/>
        <v>302</v>
      </c>
      <c r="X19" s="134">
        <f t="shared" si="18"/>
        <v>919</v>
      </c>
      <c r="Y19" s="134">
        <f t="shared" si="18"/>
        <v>56</v>
      </c>
      <c r="Z19" s="134">
        <f t="shared" si="18"/>
        <v>79</v>
      </c>
      <c r="AA19" s="134">
        <f t="shared" si="18"/>
        <v>86</v>
      </c>
      <c r="AB19" s="134">
        <f t="shared" si="18"/>
        <v>49</v>
      </c>
      <c r="AC19" s="134">
        <f t="shared" si="18"/>
        <v>0</v>
      </c>
      <c r="AD19" s="134">
        <f t="shared" si="18"/>
        <v>0</v>
      </c>
      <c r="AE19" s="134">
        <f t="shared" si="18"/>
        <v>0</v>
      </c>
      <c r="AF19" s="134">
        <f t="shared" si="18"/>
        <v>0</v>
      </c>
      <c r="AG19" s="134">
        <f t="shared" si="18"/>
        <v>33</v>
      </c>
      <c r="AH19" s="134">
        <f t="shared" si="18"/>
        <v>74</v>
      </c>
      <c r="AI19" s="134">
        <f t="shared" si="18"/>
        <v>80</v>
      </c>
      <c r="AJ19" s="134">
        <f t="shared" si="18"/>
        <v>27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1824</v>
      </c>
      <c r="AZ19" s="134">
        <f>SUBTOTAL(9,AZ9:AZ18)</f>
        <v>1639</v>
      </c>
      <c r="BA19" s="134">
        <f>SUBTOTAL(9,BA9:BA18)</f>
        <v>1751</v>
      </c>
      <c r="BB19" s="134">
        <f>SUBTOTAL(9,BB9:BB18)</f>
        <v>1720</v>
      </c>
      <c r="BC19" s="135">
        <f>SUBTOTAL(9,BC9:BC18)</f>
        <v>410</v>
      </c>
      <c r="BD19" s="213">
        <f>IF(ISNUMBER(BA19/AZ19),BA19/AZ19," - ")</f>
        <v>1.0683343502135449</v>
      </c>
      <c r="BE19" s="210">
        <f>IF(ISNUMBER(BB19/BA19),BB19/BA19, " - ")</f>
        <v>0.98229583095374073</v>
      </c>
      <c r="BF19" s="210">
        <f>IF(ISNUMBER(BC19/BA19),BC19/BA19, " - ")</f>
        <v>0.23415191319246145</v>
      </c>
      <c r="BG19" s="135">
        <f>IF(ISNUMBER((AY19+AZ19)/BA19),(AY19+AZ19)/BA19," - ")</f>
        <v>1.9777270131353513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gWT4j2nIR4S9ORIfi7xb5Vi45+Mxv9NKD5ZfilcfwmFk+8eJYiexxhb/E3esqoBW+KB8u4BaruH0uahUJ+k9A==" saltValue="7QggWpIV9jU0VGEhBHMm+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6nxBZk0/Zo2JhiWX0pr2sryz2o6RbImL7HPOv8wsoZdLlZPVwu1LT+xpTo6YacV/+QVbuoG0aoosXY9650I5g==" saltValue="1D/Ss9pZ5S8tU6Tddtzq8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1</v>
      </c>
      <c r="AD10" s="334"/>
      <c r="AE10" s="484"/>
      <c r="AF10" s="332">
        <f>IF(ISNUMBER(Datos!L10),Datos!L10,"-")</f>
        <v>40</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4</v>
      </c>
      <c r="BE10" s="229" t="str">
        <f>IF(ISNUMBER(Datos!BW10),Datos!BW10," - ")</f>
        <v xml:space="preserve"> - </v>
      </c>
      <c r="BF10" s="228" t="str">
        <f>IF(ISNUMBER(Datos!BX10),Datos!BX10," - ")</f>
        <v xml:space="preserve"> - </v>
      </c>
      <c r="BG10" s="243">
        <f>IF(ISNUMBER(Datos!K10/Datos!J10),Datos!K10/Datos!J10," - ")</f>
        <v>0.61904761904761907</v>
      </c>
      <c r="BH10" s="260">
        <f>IF(ISNUMBER(((Datos!L10/Datos!K10)*11)/factor_trimestre),((Datos!L10/Datos!K10)*11)/factor_trimestre," - ")</f>
        <v>9.2307692307692317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79</v>
      </c>
      <c r="O12" s="334"/>
      <c r="P12" s="334"/>
      <c r="Q12" s="226">
        <f>IF(ISNUMBER(Datos!P12),Datos!P12,0)</f>
        <v>119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2183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151</v>
      </c>
      <c r="BD12" s="229">
        <f>IF(ISNUMBER(Datos!N12),Datos!N12," - ")</f>
        <v>277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0.63523131672597866</v>
      </c>
      <c r="BH12" s="260">
        <f>IF(ISNUMBER(((IF(J_V="SI",Datos!L12/Datos!K12,(Datos!L12+Datos!AB12)/(Datos!K12+Datos!AA12)))*11)/factor_trimestre),((IF(J_V="SI",Datos!L12/Datos!K12,(Datos!L12+Datos!AB12)/(Datos!K12+Datos!AA12)))*11)/factor_trimestre," - ")</f>
        <v>7.5420168067226889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2.0570359981299673E-2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79</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76</v>
      </c>
      <c r="AD13" s="899">
        <f t="shared" si="1"/>
        <v>0</v>
      </c>
      <c r="AE13" s="899">
        <f t="shared" si="1"/>
        <v>0</v>
      </c>
      <c r="AF13" s="899">
        <f t="shared" si="1"/>
        <v>40</v>
      </c>
      <c r="AG13" s="899">
        <f t="shared" si="1"/>
        <v>0</v>
      </c>
      <c r="AH13" s="899">
        <f t="shared" si="1"/>
        <v>49</v>
      </c>
      <c r="AI13" s="899">
        <f t="shared" si="1"/>
        <v>0</v>
      </c>
      <c r="AJ13" s="899">
        <f t="shared" si="1"/>
        <v>0</v>
      </c>
      <c r="AK13" s="899">
        <f t="shared" si="1"/>
        <v>0</v>
      </c>
      <c r="AL13" s="899">
        <f t="shared" si="1"/>
        <v>0</v>
      </c>
      <c r="AM13" s="899">
        <f t="shared" si="1"/>
        <v>2187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v>
      </c>
      <c r="BD13" s="899">
        <f t="shared" si="1"/>
        <v>281</v>
      </c>
      <c r="BE13" s="899">
        <f t="shared" si="1"/>
        <v>0</v>
      </c>
      <c r="BF13" s="899">
        <f t="shared" si="1"/>
        <v>0</v>
      </c>
      <c r="BG13" s="899">
        <f>IF(ISNUMBER(Datos!K13/Datos!J13),Datos!K13/Datos!J13," - ")</f>
        <v>0.60131332082551592</v>
      </c>
      <c r="BH13" s="903">
        <f>IF(ISNUMBER(((Datos!L13/Datos!K13)*11)/factor_trimestre),((Datos!L13/Datos!K13)*11)/factor_trimestre," - ")</f>
        <v>8.3588143525741039</v>
      </c>
      <c r="BI13" s="899">
        <f>IF(ISNUMBER('Resol  Asuntos'!D13/NºAsuntos!G13),'Resol  Asuntos'!D13/NºAsuntos!G13," - ")</f>
        <v>0.21182943603851445</v>
      </c>
      <c r="BJ13" s="899" t="str">
        <f>IF(ISNUMBER(Datos!CI13/Datos!CJ13),Datos!CI13/Datos!CJ13," - ")</f>
        <v xml:space="preserve"> - </v>
      </c>
      <c r="BK13" s="899">
        <f>SUBTOTAL(9,BK8:BK12)</f>
        <v>0</v>
      </c>
      <c r="BL13" s="899">
        <f>IF(ISNUMBER((I13-AB13+L13)/(F13)),(I13-AB13+L13)/(F13)," - ")</f>
        <v>-0.40625</v>
      </c>
      <c r="BM13" s="904">
        <f>SUBTOTAL(9,BM9:BM12)</f>
        <v>0.35390369331463301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1000</v>
      </c>
      <c r="G16" s="598">
        <f>IF(ISNUMBER(IF(D_I="SI",Datos!I16,Datos!I16+Datos!AC16)),IF(D_I="SI",Datos!I16,Datos!I16+Datos!AC16)," - ")</f>
        <v>729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917</v>
      </c>
      <c r="AC16" s="226">
        <f>IF(ISNUMBER(Datos!Q16),Datos!Q16," - ")</f>
        <v>13</v>
      </c>
      <c r="AD16" s="334"/>
      <c r="AE16" s="484"/>
      <c r="AF16" s="596">
        <f>IF(ISNUMBER(IF(D_I="SI",Datos!L16,Datos!L16+Datos!AF16)),IF(D_I="SI",Datos!L16,Datos!L16+Datos!AF16)," - ")</f>
        <v>916</v>
      </c>
      <c r="AG16" s="334"/>
      <c r="AH16" s="334"/>
      <c r="AI16" s="334"/>
      <c r="AJ16" s="334"/>
      <c r="AK16" s="334"/>
      <c r="AL16" s="479"/>
      <c r="AM16" s="335">
        <f>IF(ISNUMBER(Datos!R16),Datos!R16," - ")</f>
        <v>134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686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1.1008403361344539</v>
      </c>
      <c r="BH16" s="260">
        <f>IF(ISNUMBER(((IF(D_I="SI",Datos!L16/Datos!K16,(Datos!L16+Datos!AF16)/(Datos!K16+Datos!AE16)))*11)/factor_trimestre),((IF(D_I="SI",Datos!L16/Datos!K16,(Datos!L16+Datos!AF16)/(Datos!K16+Datos!AE16)))*11)/factor_trimestre," - ")</f>
        <v>2.9967284623773178</v>
      </c>
      <c r="BI16" s="243">
        <f>IF(ISNUMBER('Resol  Asuntos'!D16/NºAsuntos!G16),'Resol  Asuntos'!D16/NºAsuntos!G16," - ")</f>
        <v>5.9978189749182113E-2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0</v>
      </c>
      <c r="AD17" s="334"/>
      <c r="AE17" s="484"/>
      <c r="AF17" s="332">
        <f>IF(ISNUMBER(Datos!L17),Datos!L17,"-")</f>
        <v>101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0.96551724137931039</v>
      </c>
      <c r="BH17" s="260">
        <f>IF(ISNUMBER(((IF(D_I="SI",Datos!L17/Datos!K17,(Datos!L17+Datos!AF17)/(Datos!K17+Datos!AE17)))*11)/factor_trimestre),((IF(D_I="SI",Datos!L17/Datos!K17,(Datos!L17+Datos!AF17)/(Datos!K17+Datos!AE17)))*11)/factor_trimestre," - ")</f>
        <v>3.6071428571428572</v>
      </c>
      <c r="BI17" s="243">
        <f>IF(ISNUMBER('Resol  Asuntos'!D17/NºAsuntos!G17),'Resol  Asuntos'!D17/NºAsuntos!G17," - ")</f>
        <v>5.9523809523809521E-2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1000</v>
      </c>
      <c r="G18" s="898">
        <f>SUBTOTAL(9,G15:G17)</f>
        <v>825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1001</v>
      </c>
      <c r="AC18" s="899">
        <f t="shared" si="4"/>
        <v>13</v>
      </c>
      <c r="AD18" s="899">
        <f t="shared" si="4"/>
        <v>0</v>
      </c>
      <c r="AE18" s="899">
        <f t="shared" si="4"/>
        <v>0</v>
      </c>
      <c r="AF18" s="899">
        <f t="shared" si="4"/>
        <v>1017</v>
      </c>
      <c r="AG18" s="899">
        <f t="shared" si="4"/>
        <v>0</v>
      </c>
      <c r="AH18" s="899">
        <f t="shared" si="4"/>
        <v>0</v>
      </c>
      <c r="AI18" s="899">
        <f t="shared" si="4"/>
        <v>0</v>
      </c>
      <c r="AJ18" s="899">
        <f t="shared" si="4"/>
        <v>0</v>
      </c>
      <c r="AK18" s="899">
        <f t="shared" si="4"/>
        <v>0</v>
      </c>
      <c r="AL18" s="899">
        <f t="shared" si="4"/>
        <v>0</v>
      </c>
      <c r="AM18" s="899">
        <f t="shared" si="4"/>
        <v>137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v>
      </c>
      <c r="BD18" s="899">
        <f t="shared" si="4"/>
        <v>729</v>
      </c>
      <c r="BE18" s="899">
        <f t="shared" si="4"/>
        <v>0</v>
      </c>
      <c r="BF18" s="899">
        <f t="shared" si="4"/>
        <v>0</v>
      </c>
      <c r="BG18" s="899">
        <f>IF(ISNUMBER(Datos!K18/Datos!J18),Datos!K18/Datos!J18," - ")</f>
        <v>1.0880434782608697</v>
      </c>
      <c r="BH18" s="903">
        <f>IF(ISNUMBER(((Datos!L18/Datos!K18)*11)/factor_trimestre),((Datos!L18/Datos!K18)*11)/factor_trimestre," - ")</f>
        <v>3.0479520479520481</v>
      </c>
      <c r="BI18" s="899">
        <f>SUBTOTAL(9,BI15:BI17)</f>
        <v>0.11950199927299163</v>
      </c>
      <c r="BJ18" s="899">
        <f>SUBTOTAL(9,BJ15:BJ17)</f>
        <v>0</v>
      </c>
      <c r="BK18" s="899">
        <f>SUBTOTAL(9,BK15:BK17)</f>
        <v>0</v>
      </c>
      <c r="BL18" s="899">
        <f>IF(ISNUMBER((I18-AB18+L18)/(F18)),(I18-AB18+L18)/(F18)," - ")</f>
        <v>-1.0009999999999999</v>
      </c>
      <c r="BM18" s="905">
        <f>IF(ISNUMBER((Datos!P18-Datos!Q18)/(Datos!R18-Datos!P18+Datos!Q18)),(Datos!P18-Datos!Q18)/(Datos!R18-Datos!P18+Datos!Q18)," - ")</f>
        <v>9.6000000000000002E-2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1032</v>
      </c>
      <c r="G19" s="820">
        <f t="shared" si="6"/>
        <v>857</v>
      </c>
      <c r="H19" s="822">
        <f t="shared" si="6"/>
        <v>0</v>
      </c>
      <c r="I19" s="820">
        <f t="shared" si="6"/>
        <v>0</v>
      </c>
      <c r="J19" s="822">
        <f t="shared" si="6"/>
        <v>0</v>
      </c>
      <c r="K19" s="822">
        <f t="shared" si="6"/>
        <v>0</v>
      </c>
      <c r="L19" s="881">
        <f t="shared" si="6"/>
        <v>0</v>
      </c>
      <c r="M19" s="881">
        <f t="shared" si="6"/>
        <v>0</v>
      </c>
      <c r="N19" s="881">
        <f t="shared" si="6"/>
        <v>79</v>
      </c>
      <c r="O19" s="881">
        <f t="shared" si="6"/>
        <v>0</v>
      </c>
      <c r="P19" s="881">
        <f t="shared" si="6"/>
        <v>0</v>
      </c>
      <c r="Q19" s="822">
        <f t="shared" si="6"/>
        <v>146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1014</v>
      </c>
      <c r="AC19" s="821">
        <f t="shared" si="7"/>
        <v>89</v>
      </c>
      <c r="AD19" s="821">
        <f t="shared" si="7"/>
        <v>0</v>
      </c>
      <c r="AE19" s="821">
        <f t="shared" si="7"/>
        <v>0</v>
      </c>
      <c r="AF19" s="828">
        <f t="shared" si="7"/>
        <v>1057</v>
      </c>
      <c r="AG19" s="828">
        <f t="shared" si="7"/>
        <v>0</v>
      </c>
      <c r="AH19" s="828">
        <f t="shared" si="7"/>
        <v>49</v>
      </c>
      <c r="AI19" s="828">
        <f t="shared" si="7"/>
        <v>0</v>
      </c>
      <c r="AJ19" s="821">
        <f t="shared" si="7"/>
        <v>0</v>
      </c>
      <c r="AK19" s="828">
        <f t="shared" si="7"/>
        <v>0</v>
      </c>
      <c r="AL19" s="828">
        <f t="shared" si="7"/>
        <v>0</v>
      </c>
      <c r="AM19" s="828">
        <f t="shared" si="7"/>
        <v>2324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214</v>
      </c>
      <c r="BD19" s="820">
        <f t="shared" si="7"/>
        <v>1010</v>
      </c>
      <c r="BE19" s="820">
        <f t="shared" si="7"/>
        <v>0</v>
      </c>
      <c r="BF19" s="830">
        <f t="shared" si="7"/>
        <v>0</v>
      </c>
      <c r="BG19" s="915">
        <f>IF(ISNUMBER(Datos!K19/Datos!J19),Datos!K19/Datos!J19," - ")</f>
        <v>0.82678751258811678</v>
      </c>
      <c r="BH19" s="915">
        <f>IF(ISNUMBER(((Datos!L19/Datos!K19)*11)/factor_trimestre),((Datos!L19/Datos!K19)*11)/factor_trimestre," - ")</f>
        <v>5.1211936662606581</v>
      </c>
      <c r="BI19" s="813">
        <f>IF(ISNUMBER(Datos!J19/Datos!I19),Datos!J19/Datos!I19," - ")</f>
        <v>0.90892448512585811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-0.98255813953488369</v>
      </c>
      <c r="BM19" s="889">
        <f>IF(ISNUMBER((Datos!P19-Datos!Q19+R19)/(Datos!R19-Datos!P19+Datos!Q19-R19)),(Datos!P19-Datos!Q19+R19)/(Datos!R19-Datos!P19+Datos!Q19-R19)," - ")</f>
        <v>2.5143361270401413E-2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558.87506057555777</v>
      </c>
      <c r="G21" s="552">
        <f>IF(ISNUMBER(STDEV(G8:G18)),STDEV(G8:G18),"-")</f>
        <v>398.67618439028939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506.88440496823335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67.298340742299629</v>
      </c>
      <c r="BD21" s="551"/>
      <c r="BE21" s="551">
        <f>IF(ISNUMBER(STDEV(BE8:BE18)),STDEV(BE8:BE18),"-")</f>
        <v>0</v>
      </c>
      <c r="BF21" s="556">
        <f>IF(ISNUMBER(STDEV(BF8:BF18)),STDEV(BF8:BF18),"-")</f>
        <v>0</v>
      </c>
      <c r="BG21" s="775">
        <f>IF(ISNUMBER(STDEV(BG8:BG18)),STDEV(BG8:BG18),"-")</f>
        <v>0.24202861738888884</v>
      </c>
      <c r="BH21" s="776">
        <f>IF(ISNUMBER(STDEV(BH8:BH18)),STDEV(BH8:BH18),"-")</f>
        <v>2.88419856661536</v>
      </c>
      <c r="BI21" s="249">
        <f>IF(ISNUMBER(STDEV(BI8:BI18)),STDEV(BI8:BI18),"-")</f>
        <v>7.1833623774291047E-2</v>
      </c>
      <c r="BJ21" s="230" t="str">
        <f>IF(ISNUMBER(BL21/BM21),BL21/BM21," - ")</f>
        <v xml:space="preserve"> - </v>
      </c>
      <c r="BK21" s="575"/>
      <c r="BL21" s="559">
        <f>IF(ISNUMBER(STDEV(BL8:BL18)),STDEV(BL8:BL18),"-")</f>
        <v>0.420551758110699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H+YSyJ+PrBSnn5e1FNeyP8UWXtQiq07bSCr8TIZerp6CobSVfftPqg/yC4quGyXv3ChY6IoTfYa1gRX9GgUxA==" saltValue="RSaxMbZGHNOp3blHBG7uk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UBEDA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1</v>
      </c>
      <c r="AA10" s="332">
        <f>IF(ISNUMBER(Datos!L10),Datos!L10,"-")</f>
        <v>40</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3</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9.2307692307692317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75</v>
      </c>
      <c r="AA12" s="332" t="str">
        <f>IF(ISNUMBER(IF(J_V="SI",Datos!L12,Datos!L12+Datos!AB12)-IF(Monitorios="SI",Datos!CD12,0)),
                          IF(J_V="SI",Datos!L12,Datos!L12+Datos!AB12)-IF(Monitorios="SI",Datos!CD12,0),
                          " - ")</f>
        <v xml:space="preserve"> - </v>
      </c>
      <c r="AB12" s="334"/>
      <c r="AC12" s="334"/>
      <c r="AD12" s="484"/>
      <c r="AE12" s="484">
        <f>IF(ISNUMBER(Datos!R12),Datos!R12," - ")</f>
        <v>2183</v>
      </c>
      <c r="AF12" s="229" t="str">
        <f>IF(ISNUMBER(Datos!BV12),Datos!BV12," - ")</f>
        <v xml:space="preserve"> - </v>
      </c>
      <c r="AG12" s="225" t="str">
        <f>IF(ISNUMBER(Datos!DV12),Datos!DV12," - ")</f>
        <v xml:space="preserve"> - </v>
      </c>
      <c r="AH12" s="298"/>
      <c r="AI12" s="227"/>
      <c r="AJ12" s="225">
        <f>IF(ISNUMBER(Datos!M12),Datos!M12," - ")</f>
        <v>151</v>
      </c>
      <c r="AK12" s="229">
        <f>IF(ISNUMBER(Datos!N12),Datos!N12," - ")</f>
        <v>277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7.5420168067226889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2.0570359981299673E-2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76</v>
      </c>
      <c r="AA13" s="900">
        <f t="shared" si="2"/>
        <v>40</v>
      </c>
      <c r="AB13" s="900">
        <f t="shared" si="2"/>
        <v>0</v>
      </c>
      <c r="AC13" s="900">
        <f t="shared" si="2"/>
        <v>0</v>
      </c>
      <c r="AD13" s="900">
        <f t="shared" si="2"/>
        <v>0</v>
      </c>
      <c r="AE13" s="900">
        <f t="shared" si="2"/>
        <v>2187</v>
      </c>
      <c r="AF13" s="908">
        <f t="shared" si="2"/>
        <v>0</v>
      </c>
      <c r="AG13" s="908">
        <f t="shared" si="2"/>
        <v>0</v>
      </c>
      <c r="AH13" s="908">
        <f t="shared" si="2"/>
        <v>0</v>
      </c>
      <c r="AI13" s="908">
        <f t="shared" si="2"/>
        <v>0</v>
      </c>
      <c r="AJ13" s="908">
        <f t="shared" si="2"/>
        <v>154</v>
      </c>
      <c r="AK13" s="908">
        <f t="shared" si="2"/>
        <v>281</v>
      </c>
      <c r="AL13" s="908">
        <f t="shared" si="2"/>
        <v>0</v>
      </c>
      <c r="AM13" s="908">
        <f t="shared" si="2"/>
        <v>0</v>
      </c>
      <c r="AN13" s="908">
        <f t="shared" si="2"/>
        <v>0</v>
      </c>
      <c r="AO13" s="904">
        <f>IF(ISNUMBER(((NºAsuntos!I13/NºAsuntos!G13)*11)/factor_trimestre),((NºAsuntos!I13/NºAsuntos!G13)*11)/factor_trimestre," - ")</f>
        <v>7.5722145804676764</v>
      </c>
      <c r="AP13" s="910" t="str">
        <f>IF(ISNUMBER(Datos!CI13/Datos!CJ13),Datos!CI13/Datos!CJ13," - ")</f>
        <v xml:space="preserve"> - </v>
      </c>
      <c r="AQ13" s="928">
        <f t="shared" ref="AQ13:AV13" si="3">SUBTOTAL(9,AQ9:AQ12)</f>
        <v>0</v>
      </c>
      <c r="AR13" s="928">
        <f t="shared" si="3"/>
        <v>0.35390369331463301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1000</v>
      </c>
      <c r="G16" s="225">
        <f>IF(ISNUMBER(IF(D_I="SI",Datos!I16,Datos!I16+Datos!AC16)),IF(D_I="SI",Datos!I16,Datos!I16+Datos!AC16)," - ")</f>
        <v>729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917</v>
      </c>
      <c r="Z16" s="619">
        <f>IF(ISNUMBER(Datos!Q16),Datos!Q16," - ")</f>
        <v>13</v>
      </c>
      <c r="AA16" s="332">
        <f>IF(ISNUMBER(IF(D_I="SI",Datos!L16,Datos!L16+Datos!AF16)),IF(D_I="SI",Datos!L16,Datos!L16+Datos!AF16)," - ")</f>
        <v>916</v>
      </c>
      <c r="AB16" s="334"/>
      <c r="AC16" s="334"/>
      <c r="AD16" s="484"/>
      <c r="AE16" s="484">
        <f>IF(ISNUMBER(Datos!R16),Datos!R16," - ")</f>
        <v>134</v>
      </c>
      <c r="AF16" s="229" t="str">
        <f>IF(ISNUMBER(Datos!BV16),Datos!BV16," - ")</f>
        <v xml:space="preserve"> - </v>
      </c>
      <c r="AG16" s="225"/>
      <c r="AH16" s="298"/>
      <c r="AI16" s="227"/>
      <c r="AJ16" s="225">
        <f>IF(ISNUMBER(Datos!M16),Datos!M16," - ")</f>
        <v>55</v>
      </c>
      <c r="AK16" s="229">
        <f>IF(ISNUMBER(Datos!N16),Datos!N16," - ")</f>
        <v>686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2.9967284623773178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0</v>
      </c>
      <c r="AA17" s="332">
        <f>IF(ISNUMBER(Datos!L17),Datos!L17,"-")</f>
        <v>101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5</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3.6071428571428572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1000</v>
      </c>
      <c r="G18" s="898">
        <f>SUBTOTAL(9,G15:G17)</f>
        <v>825</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1001</v>
      </c>
      <c r="Z18" s="932">
        <f t="shared" si="5"/>
        <v>13</v>
      </c>
      <c r="AA18" s="932">
        <f t="shared" si="5"/>
        <v>1017</v>
      </c>
      <c r="AB18" s="932">
        <f t="shared" si="5"/>
        <v>0</v>
      </c>
      <c r="AC18" s="932">
        <f t="shared" si="5"/>
        <v>0</v>
      </c>
      <c r="AD18" s="932">
        <f t="shared" si="5"/>
        <v>0</v>
      </c>
      <c r="AE18" s="932">
        <f t="shared" si="5"/>
        <v>137</v>
      </c>
      <c r="AF18" s="932">
        <f t="shared" si="5"/>
        <v>0</v>
      </c>
      <c r="AG18" s="932">
        <f t="shared" si="5"/>
        <v>0</v>
      </c>
      <c r="AH18" s="932">
        <f t="shared" si="5"/>
        <v>0</v>
      </c>
      <c r="AI18" s="932">
        <f t="shared" si="5"/>
        <v>0</v>
      </c>
      <c r="AJ18" s="932">
        <f t="shared" si="5"/>
        <v>60</v>
      </c>
      <c r="AK18" s="932">
        <f t="shared" si="5"/>
        <v>729</v>
      </c>
      <c r="AL18" s="932">
        <f t="shared" si="5"/>
        <v>0</v>
      </c>
      <c r="AM18" s="932">
        <f t="shared" si="5"/>
        <v>0</v>
      </c>
      <c r="AN18" s="932">
        <f t="shared" si="5"/>
        <v>0</v>
      </c>
      <c r="AO18" s="934">
        <f>IF(ISNUMBER(((NºAsuntos!I18/NºAsuntos!G18)*11)/factor_trimestre),((NºAsuntos!I18/NºAsuntos!G18)*11)/factor_trimestre," - ")</f>
        <v>3.0479520479520481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1032</v>
      </c>
      <c r="G19" s="820">
        <f t="shared" si="7"/>
        <v>857</v>
      </c>
      <c r="H19" s="821">
        <f t="shared" si="7"/>
        <v>0</v>
      </c>
      <c r="I19" s="820">
        <f t="shared" si="7"/>
        <v>0</v>
      </c>
      <c r="J19" s="822">
        <f t="shared" si="7"/>
        <v>0</v>
      </c>
      <c r="K19" s="820">
        <f t="shared" si="7"/>
        <v>0</v>
      </c>
      <c r="L19" s="823">
        <f t="shared" si="7"/>
        <v>0</v>
      </c>
      <c r="M19" s="820">
        <f t="shared" si="7"/>
        <v>0</v>
      </c>
      <c r="N19" s="821">
        <f t="shared" si="7"/>
        <v>146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1014</v>
      </c>
      <c r="Z19" s="827">
        <f t="shared" si="8"/>
        <v>89</v>
      </c>
      <c r="AA19" s="828">
        <f t="shared" si="8"/>
        <v>1057</v>
      </c>
      <c r="AB19" s="828">
        <f t="shared" si="8"/>
        <v>0</v>
      </c>
      <c r="AC19" s="828">
        <f t="shared" si="8"/>
        <v>0</v>
      </c>
      <c r="AD19" s="829">
        <f t="shared" si="8"/>
        <v>0</v>
      </c>
      <c r="AE19" s="829">
        <f t="shared" si="8"/>
        <v>2324</v>
      </c>
      <c r="AF19" s="830">
        <f t="shared" si="8"/>
        <v>0</v>
      </c>
      <c r="AG19" s="831">
        <f t="shared" si="8"/>
        <v>0</v>
      </c>
      <c r="AH19" s="832">
        <f t="shared" si="8"/>
        <v>0</v>
      </c>
      <c r="AI19" s="830">
        <f t="shared" si="8"/>
        <v>0</v>
      </c>
      <c r="AJ19" s="820">
        <f t="shared" si="8"/>
        <v>214</v>
      </c>
      <c r="AK19" s="820">
        <f t="shared" si="8"/>
        <v>1010</v>
      </c>
      <c r="AL19" s="820">
        <f t="shared" si="8"/>
        <v>0</v>
      </c>
      <c r="AM19" s="833">
        <f t="shared" si="8"/>
        <v>0</v>
      </c>
      <c r="AN19" s="823">
        <f>IF(ISNUMBER(Datos!K19/Datos!J19),Datos!K19/Datos!J19," - ")</f>
        <v>0.82678751258811678</v>
      </c>
      <c r="AO19" s="823">
        <f>IF(ISNUMBER(FIND("06",Criterios!A8,1)),(IF(ISNUMBER(((Datos!R19/Datos!Q19)*11)/factor_trimestre),((Datos!R19/Datos!Q19)*11)/factor_trimestre," - ")),(IF(ISNUMBER(((Datos!L19/Datos!K19)*11)/factor_trimestre),((Datos!L19/Datos!K19)*11)/factor_trimestre," - ")))</f>
        <v>5.1211936662606581</v>
      </c>
      <c r="AP19" s="834" t="str">
        <f>IF(ISNUMBER(Datos!CI19/Datos!CJ19),Datos!CI19/Datos!CJ19," - ")</f>
        <v xml:space="preserve"> - </v>
      </c>
      <c r="AQ19" s="834">
        <f>IF(OR(ISNUMBER(FIND("01",Criterios!A8,1)),ISNUMBER(FIND("02",Criterios!A8,1)),ISNUMBER(FIND("03",Criterios!A8,1)),ISNUMBER(FIND("04",Criterios!A8,1))),(J19-Y19+K19)/(F19-K19),(I19-Y19+K19)/(F19-K19))</f>
        <v>-0.98255813953488369</v>
      </c>
      <c r="AR19" s="834">
        <f>IF(ISNUMBER((Datos!P19-Datos!Q19+O19)/(Datos!R19-Datos!P19+Datos!Q19-O19)),(Datos!P19-Datos!Q19+O19)/(Datos!R19-Datos!P19+Datos!Q19-O19)," - ")</f>
        <v>2.5143361270401413E-2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558.87506057555777</v>
      </c>
      <c r="G21" s="552">
        <f>IF(ISNUMBER(STDEV(G8:G18)),STDEV(G8:G18),"-")</f>
        <v>398.67618439028939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67.298340742299629</v>
      </c>
      <c r="AK21" s="252"/>
      <c r="AL21" s="252">
        <f>IF(ISNUMBER(STDEV(AL8:AL18)),STDEV(AL8:AL18),"-")</f>
        <v>0</v>
      </c>
      <c r="AM21" s="254">
        <f>IF(ISNUMBER(STDEV(AM8:AM18)),STDEV(AM8:AM18),"-")</f>
        <v>0</v>
      </c>
      <c r="AN21" s="539">
        <f>IF(ISNUMBER(STDEV(AN8:AN18)),STDEV(AN8:AN18),"-")</f>
        <v>0</v>
      </c>
      <c r="AO21" s="540">
        <f>IF(ISNUMBER(STDEV(AO8:AO18)),STDEV(AO8:AO18),"-")</f>
        <v>2.7596648708440279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yTKQv5MysfwApgHZXpvfUl+T8MA2SBUJcZLtrk6s9lEH1mOchCQX7gxpjSTpyhgG0Uav8+ZASvBYD4L5XqVrQ==" saltValue="f3SBD7tzzsHNtDgWNLOpG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iCAVlDf8SxVTkda9aMptJQNDMXjp9sSo6TiD9mxL7fSv7E+fqrSYNtaQo59Pg44sD+yRMdq28BLx1aBP0IF1Q==" saltValue="kwjpuGpPSldhY7FWvB0o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TaiEIHRCSeMwlG54WWlkVjelurUobcqVhAaF79JoMbACjFT40LWn2nkgIkNYeA2DZo/ni5KcXc/EKQ706g4kw==" saltValue="9zG/eV44K+t0dQ8h2/sFJ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0.21182943603851445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0.14978603067775559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MH993yT+vbctEpj1XPBRUL39RdgFZsxxPYe1tsYnp62zpJAE64MpfEoggtFBa3xyZZEpth9rw4pHO7gFA2S1wg==" saltValue="mZsDSuiDtOkLIdp2Tycnx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UW+m5J1rpBWLcVG0HQB85fGpTeliL2khRAHLp92/2N/v80zH1CBEWv3Z2wDyMxtlii7k7rhNG/4jQg7VTtRVg==" saltValue="u2FUMiJoAuA3bAd5EyJ8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UBEDA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9.2307692307692317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151</v>
      </c>
      <c r="AM12" s="690">
        <f>IF(ISNUMBER(Datos!N12+DatosP!N16),Datos!N12+DatosP!N16," - ")</f>
        <v>277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7.5420168067226889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2.0570359981299673E-2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75</v>
      </c>
      <c r="AE13" s="939">
        <f t="shared" si="1"/>
        <v>0</v>
      </c>
      <c r="AF13" s="939">
        <f t="shared" si="1"/>
        <v>40</v>
      </c>
      <c r="AG13" s="939">
        <f t="shared" si="1"/>
        <v>0</v>
      </c>
      <c r="AH13" s="939">
        <f t="shared" si="1"/>
        <v>2183</v>
      </c>
      <c r="AI13" s="939">
        <f t="shared" si="1"/>
        <v>0</v>
      </c>
      <c r="AJ13" s="939">
        <f t="shared" si="1"/>
        <v>0</v>
      </c>
      <c r="AK13" s="939">
        <f t="shared" si="1"/>
        <v>0</v>
      </c>
      <c r="AL13" s="939">
        <f t="shared" si="1"/>
        <v>154</v>
      </c>
      <c r="AM13" s="939">
        <f t="shared" si="1"/>
        <v>281</v>
      </c>
      <c r="AN13" s="939">
        <f t="shared" si="1"/>
        <v>0</v>
      </c>
      <c r="AO13" s="939">
        <f t="shared" si="1"/>
        <v>0</v>
      </c>
      <c r="AP13" s="944">
        <f>IF(ISNUMBER(((Datos!L13/Datos!K13)*11)/factor_trimestre),((Datos!L13/Datos!K13)*11)/factor_trimestre," - ")</f>
        <v>8.3588143525741039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-0.40625</v>
      </c>
      <c r="AU13" s="939" t="str">
        <f>IF(ISNUMBER((DatosP!#REF!-DatosP!#REF!+DatosP!#REF!)/(DatosP!#REF!+DatosP!#REF!-DatosP!#REF!-DatosP!#REF!)),(DatosP!#REF!-DatosP!#REF!+DatosP!#REF!)/(DatosP!#REF!+DatosP!#REF!-DatosP!#REF!-DatosP!#REF!)," - ")</f>
        <v xml:space="preserve"> - </v>
      </c>
      <c r="AV13" s="945">
        <f>SUBTOTAL(9,AV9:AV12)</f>
        <v>2.0570359981299673E-2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3.0479520479520481</v>
      </c>
      <c r="AQ18" s="944">
        <f>IF(ISNUMBER(((Datos!M18/Datos!L18)*11)/factor_trimestre),((Datos!M18/Datos!L18)*11)/factor_trimestre," - ")</f>
        <v>0.1769911504424779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9.6000000000000002E-2</v>
      </c>
      <c r="AW18" s="946">
        <f>IF(ISNUMBER((Datos!Q18-Datos!R18)/(Datos!S18-Datos!Q18+Datos!R18)),(Datos!Q18-Datos!R18)/(Datos!S18-Datos!Q18+Datos!R18)," - ")</f>
        <v>-0.15636822194199243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75</v>
      </c>
      <c r="AE19" s="957">
        <f t="shared" si="5"/>
        <v>0</v>
      </c>
      <c r="AF19" s="958">
        <f t="shared" si="5"/>
        <v>40</v>
      </c>
      <c r="AG19" s="958">
        <f t="shared" si="5"/>
        <v>0</v>
      </c>
      <c r="AH19" s="958">
        <f t="shared" si="5"/>
        <v>2183</v>
      </c>
      <c r="AI19" s="958">
        <f t="shared" si="5"/>
        <v>0</v>
      </c>
      <c r="AJ19" s="959">
        <f t="shared" si="5"/>
        <v>0</v>
      </c>
      <c r="AK19" s="959">
        <f t="shared" si="5"/>
        <v>0</v>
      </c>
      <c r="AL19" s="951">
        <f t="shared" si="5"/>
        <v>154</v>
      </c>
      <c r="AM19" s="951">
        <f t="shared" si="5"/>
        <v>281</v>
      </c>
      <c r="AN19" s="951">
        <f t="shared" si="5"/>
        <v>0</v>
      </c>
      <c r="AO19" s="951">
        <f t="shared" si="5"/>
        <v>0</v>
      </c>
      <c r="AP19" s="951">
        <f>IF(ISNUMBER(((Datos!L19/Datos!K19)*11)/factor_trimestre),((Datos!L19/Datos!K19)*11)/factor_trimestre," - ")</f>
        <v>5.1211936662606581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2.5143361270401413E-2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87.197094752826104</v>
      </c>
      <c r="AM21" s="736"/>
      <c r="AN21" s="736">
        <f>IF(ISNUMBER(STDEV(AN8:AN18)),STDEV(AN8:AN18),"-")</f>
        <v>0</v>
      </c>
      <c r="AO21" s="742">
        <f>IF(ISNUMBER(STDEV(AO8:AO18)),STDEV(AO8:AO18),"-")</f>
        <v>0</v>
      </c>
      <c r="AP21" s="779">
        <f>IF(ISNUMBER(STDEV(AP8:AP18)),STDEV(AP8:AP18),"-")</f>
        <v>2.7523997571976397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b61n4LBtpqBJtQcsq0KodVLuxRToExqiLpnTWdPxhdWmCaEz8GX+dKxUszaUArzIcukPmDXs/+jD34QKmUmYA==" saltValue="NREWGqdvlf2vEwjWz/V2A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